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80" tabRatio="821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 11" sheetId="11" r:id="rId11"/>
    <sheet name="прил. 12" sheetId="12" r:id="rId12"/>
  </sheets>
  <externalReferences>
    <externalReference r:id="rId15"/>
  </externalReferences>
  <definedNames>
    <definedName name="_xlnm.Print_Titles" localSheetId="4">'прил.5'!$11:$11</definedName>
    <definedName name="_xlnm.Print_Titles" localSheetId="5">'прил.6'!$12:$12</definedName>
    <definedName name="_xlnm.Print_Titles" localSheetId="6">'прил.7'!$3:$3</definedName>
    <definedName name="_xlnm.Print_Titles" localSheetId="7">'прил.8'!$13:$13</definedName>
    <definedName name="_xlnm.Print_Area" localSheetId="10">'прил. 11'!$A$1:$D$26</definedName>
    <definedName name="_xlnm.Print_Area" localSheetId="0">'прил.1'!$B$1:$I$83</definedName>
    <definedName name="_xlnm.Print_Area" localSheetId="9">'прил.10'!$A$1:$D$28</definedName>
    <definedName name="_xlnm.Print_Area" localSheetId="1">'прил.2'!$B$1:$K$81</definedName>
    <definedName name="_xlnm.Print_Area" localSheetId="2">'прил.3'!$A$1:$D$44</definedName>
    <definedName name="_xlnm.Print_Area" localSheetId="4">'прил.5'!$A$1:$D$58</definedName>
    <definedName name="_xlnm.Print_Area" localSheetId="5">'прил.6'!$A$1:$E$58</definedName>
    <definedName name="_xlnm.Print_Area" localSheetId="6">'прил.7'!$A$1:$G$186</definedName>
    <definedName name="_xlnm.Print_Area" localSheetId="8">'прил.9'!$A$1:$C$23</definedName>
  </definedNames>
  <calcPr fullCalcOnLoad="1"/>
</workbook>
</file>

<file path=xl/sharedStrings.xml><?xml version="1.0" encoding="utf-8"?>
<sst xmlns="http://schemas.openxmlformats.org/spreadsheetml/2006/main" count="3046" uniqueCount="508">
  <si>
    <t>ОБЩЕГОСУДАРСТВЕННЫЕ ВОПРОСЫ</t>
  </si>
  <si>
    <t>Коммунальное хозяйство</t>
  </si>
  <si>
    <t>РЗ</t>
  </si>
  <si>
    <t>00</t>
  </si>
  <si>
    <t>Пр</t>
  </si>
  <si>
    <t>Наименование</t>
  </si>
  <si>
    <t>01</t>
  </si>
  <si>
    <t>04</t>
  </si>
  <si>
    <t>02</t>
  </si>
  <si>
    <t>08</t>
  </si>
  <si>
    <t>05</t>
  </si>
  <si>
    <t>03</t>
  </si>
  <si>
    <t>12</t>
  </si>
  <si>
    <t>тыс.руб.</t>
  </si>
  <si>
    <t>ЦСР</t>
  </si>
  <si>
    <t>ВР</t>
  </si>
  <si>
    <t>000</t>
  </si>
  <si>
    <t>11</t>
  </si>
  <si>
    <t xml:space="preserve"> </t>
  </si>
  <si>
    <t>ВСЕГО</t>
  </si>
  <si>
    <t>РЕЗЕРВНЫЙ ФОНД</t>
  </si>
  <si>
    <t>Благоустройство</t>
  </si>
  <si>
    <t>07</t>
  </si>
  <si>
    <t>14</t>
  </si>
  <si>
    <t>НАЦИОНАЛЬНАЯ ЭКОНОМИКА</t>
  </si>
  <si>
    <t>09</t>
  </si>
  <si>
    <t>121</t>
  </si>
  <si>
    <t>244</t>
  </si>
  <si>
    <t>870</t>
  </si>
  <si>
    <t>540</t>
  </si>
  <si>
    <t>10</t>
  </si>
  <si>
    <t>111</t>
  </si>
  <si>
    <t>240</t>
  </si>
  <si>
    <t>НАЦИОНАЛЬНАЯ БЕЗОПАСНОСТЬ И ПРАВООХРАНИТЕЛЬНАЯ ДЕЯТЕЛЬНОСТЬ</t>
  </si>
  <si>
    <t>91.1.00.00000</t>
  </si>
  <si>
    <t>91.1.00.60001</t>
  </si>
  <si>
    <t>91.3.00.00000</t>
  </si>
  <si>
    <t>91.3.00.51180</t>
  </si>
  <si>
    <t>91.1.00.60006</t>
  </si>
  <si>
    <t>91.1.00.60011</t>
  </si>
  <si>
    <t>Реализация мероприятий муниципальной программы за счет средств местного бюджета</t>
  </si>
  <si>
    <t>91.1.00.60020</t>
  </si>
  <si>
    <t>91.1.00.60008</t>
  </si>
  <si>
    <t>91.1.00.60105</t>
  </si>
  <si>
    <t>91.1.00.60014</t>
  </si>
  <si>
    <t>91.1.00.60015</t>
  </si>
  <si>
    <t>91.1.00.60013</t>
  </si>
  <si>
    <t>Функционирование Правительства Российской Федерации, высших   исполнительных органов государственной власти субъектов Российской Федерации, местных администраций</t>
  </si>
  <si>
    <t>129</t>
  </si>
  <si>
    <t>852</t>
  </si>
  <si>
    <t>120</t>
  </si>
  <si>
    <t>800</t>
  </si>
  <si>
    <t>853</t>
  </si>
  <si>
    <t>119</t>
  </si>
  <si>
    <t>110</t>
  </si>
  <si>
    <t>850</t>
  </si>
  <si>
    <t>91.1.00.60004</t>
  </si>
  <si>
    <t>243</t>
  </si>
  <si>
    <t>Обслуживание государственного внутреннего и муниципального долга</t>
  </si>
  <si>
    <t>13</t>
  </si>
  <si>
    <t>730</t>
  </si>
  <si>
    <t>91.1.00.60018</t>
  </si>
  <si>
    <t>Пенсионное обеспечение</t>
  </si>
  <si>
    <t>91.2.00.73150</t>
  </si>
  <si>
    <t>312</t>
  </si>
  <si>
    <t>300</t>
  </si>
  <si>
    <t>20.2.00.00000</t>
  </si>
  <si>
    <t xml:space="preserve">Осуществление отдельных областных государственных полномочий в сфере водоснабжения и водоотведения </t>
  </si>
  <si>
    <t>91.4.00.S2370</t>
  </si>
  <si>
    <t>91.1.00.60005</t>
  </si>
  <si>
    <t>Марковского муниципального образования</t>
  </si>
  <si>
    <t>Профессиональная подготовка, переподготовка и повышение квалификации</t>
  </si>
  <si>
    <t xml:space="preserve"> ОБРАЗОВАНИЕ</t>
  </si>
  <si>
    <t>91.2.00.73110</t>
  </si>
  <si>
    <t>06</t>
  </si>
  <si>
    <t>20.1.00.99026</t>
  </si>
  <si>
    <t>СОЦИАЛЬНАЯ ПОЛИТИКА</t>
  </si>
  <si>
    <t>23.1.00.00000</t>
  </si>
  <si>
    <t>23.1.00.99038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</si>
  <si>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</si>
  <si>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 органов местного самоуправления</t>
  </si>
  <si>
    <t>Расходы на выплаты персоналу государственных(муниципальных)органов</t>
  </si>
  <si>
    <t xml:space="preserve">Закупка товаров работ и услуг для государственных (муниципальных)нужд                           </t>
  </si>
  <si>
    <t>200</t>
  </si>
  <si>
    <t>Уплата налогов, сборов и иных платежей</t>
  </si>
  <si>
    <t>91.2.00.00000</t>
  </si>
  <si>
    <t>Мобилизационная и вневойсковая подготовка</t>
  </si>
  <si>
    <t>247</t>
  </si>
  <si>
    <t xml:space="preserve">Закупка товаров работ и услуг для государственных (муниципальных)нужд                                         </t>
  </si>
  <si>
    <t>21.4.00.00000</t>
  </si>
  <si>
    <t>21.4.00.99020</t>
  </si>
  <si>
    <t>91.4.00.00000</t>
  </si>
  <si>
    <t>Публичные нормативные социальные выплаты гражданам</t>
  </si>
  <si>
    <t>310</t>
  </si>
  <si>
    <t>Обслуживание государственного (муниципального) долга</t>
  </si>
  <si>
    <t>91.1.11.60019</t>
  </si>
  <si>
    <t>700</t>
  </si>
  <si>
    <t>Межбюджетные трансферты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</si>
  <si>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</si>
  <si>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</si>
  <si>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</si>
  <si>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</si>
  <si>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414</t>
  </si>
  <si>
    <t>Иные закупки товаров, работ и услуг для обеспечения государственных (муниципальных)нужд ОБ</t>
  </si>
  <si>
    <t xml:space="preserve">  </t>
  </si>
  <si>
    <t xml:space="preserve">                         ПРИЛОЖЕНИЕ № 5</t>
  </si>
  <si>
    <t>20.1.00.00000</t>
  </si>
  <si>
    <t>21.5.00.S2922</t>
  </si>
  <si>
    <t>Другие вопросы в области социальной политики</t>
  </si>
  <si>
    <t>91.1.00.60002</t>
  </si>
  <si>
    <t>КОД</t>
  </si>
  <si>
    <t>Источников внутреннего финансирования дефицитов бюджетов</t>
  </si>
  <si>
    <t>717 01 00 00 00 00 0000 000</t>
  </si>
  <si>
    <t>Кредиты кредитных организаций в валюте Российской Федерации</t>
  </si>
  <si>
    <t>717 01 02 00 00 00 0000 000</t>
  </si>
  <si>
    <t>Получение кредитов от кредитных организаций   в валюте Российской Федерации</t>
  </si>
  <si>
    <t xml:space="preserve">717 01 02 00 00 00 0000 700 </t>
  </si>
  <si>
    <t>Получение кредитов от кредитных организаций бюджетами городских поселений в валюте Российской Федерации</t>
  </si>
  <si>
    <t>717 01 02 00 00 13 0000 710</t>
  </si>
  <si>
    <t xml:space="preserve">Погашение кредитов предоставленных кредитными организациями в валюте Российской Федерации </t>
  </si>
  <si>
    <t>717 01 02 00 00 00 0000 800</t>
  </si>
  <si>
    <t xml:space="preserve">Погашение бюджетами городских поселений кредитов от кредитных организаций в валюте Российской Федерации </t>
  </si>
  <si>
    <t>717 01 02 00 00 13 0000 810</t>
  </si>
  <si>
    <t xml:space="preserve">Бюджетные кредиты от других бюджетов бюджетной системы Российской Федерации  </t>
  </si>
  <si>
    <t>717 01 03 00 00 00 0000 000</t>
  </si>
  <si>
    <t>Бюджетные кредиты от других бюджетов бюджетной системы Российской Федерации в валюте Российской Федерации</t>
  </si>
  <si>
    <t>717 01 03 01 00 00 0000 700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</si>
  <si>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</si>
  <si>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717 01 03 01 00 13 0000 710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</si>
  <si>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</si>
  <si>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717 01 03 01 00 00 0000 800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</si>
  <si>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</si>
  <si>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717 01 03 01 00 13 0000 810</t>
  </si>
  <si>
    <t xml:space="preserve">Изменение остатков средств на счетах по учету средств бюджетов  </t>
  </si>
  <si>
    <t xml:space="preserve">000 01 05 00 00 00 0000 000 </t>
  </si>
  <si>
    <t xml:space="preserve">Увеличение прочих остатков средств бюджетов 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</si>
  <si>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</si>
  <si>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</si>
  <si>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</si>
  <si>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</si>
  <si>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</si>
  <si>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прочих остатков средств бюджетов 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</si>
  <si>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</si>
  <si>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</si>
  <si>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</si>
  <si>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</si>
  <si>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</si>
  <si>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к  решению Думы Марковского</t>
  </si>
  <si>
    <t>муниципального    образования « О бюджете</t>
  </si>
  <si>
    <t>тыс. руб.</t>
  </si>
  <si>
    <t>КБК</t>
  </si>
  <si>
    <t xml:space="preserve">НАЛОГОВЫЕ И НЕНАЛОГОВЫЕ ДОХОДЫ  </t>
  </si>
  <si>
    <t>1 00 00000 00 0000 000</t>
  </si>
  <si>
    <t>Налоговые доходы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</si>
  <si>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</si>
  <si>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</si>
  <si>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</si>
  <si>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</si>
  <si>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</si>
  <si>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</si>
  <si>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</si>
  <si>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</si>
  <si>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</si>
  <si>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</si>
  <si>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</si>
  <si>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 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</si>
  <si>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</si>
  <si>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</si>
  <si>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</si>
  <si>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</si>
  <si>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1 01 02030 01 3000 110</t>
  </si>
  <si>
    <t>Налог на доходы физических лиц в виде фиксированных авансовых платежей с доходов,  полученных  физическими лицами ,являющиеся иностранными гражданами, осуществляющими трудовую деятельность по найму на основании патента в соответствии  со статьей 227.1 Налогового Кодекса  Российской Федерации</t>
  </si>
  <si>
    <t>1 01 02040 01 1000 110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</si>
  <si>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</si>
  <si>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</si>
  <si>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</si>
  <si>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</si>
  <si>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</si>
  <si>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</si>
  <si>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</si>
  <si>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</si>
  <si>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</si>
  <si>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</si>
  <si>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1 03 02261 01 0000 110</t>
  </si>
  <si>
    <t>НАЛОГ НА СОВОКУПНЫЙ ДОХОД</t>
  </si>
  <si>
    <t>1 05 00000 00 0000 000</t>
  </si>
  <si>
    <t xml:space="preserve">Единый сельскохозяйственный  налог    </t>
  </si>
  <si>
    <t>1 05 03000 01 0000 110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</si>
  <si>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</si>
  <si>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</si>
  <si>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НАЛОГИ НА ИМУЩЕСТВО</t>
  </si>
  <si>
    <t>1 06 00000 00 0000 000</t>
  </si>
  <si>
    <t>Налог на имущество физических лиц</t>
  </si>
  <si>
    <t>1 06 0100 00 0000 110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</si>
  <si>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</si>
  <si>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</si>
  <si>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</si>
  <si>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1 06 01030 13 1000 110</t>
  </si>
  <si>
    <t xml:space="preserve">Земельный налог        </t>
  </si>
  <si>
    <t>1 06 06000 00 0000 110</t>
  </si>
  <si>
    <t>Земельный налог с юридических лиц</t>
  </si>
  <si>
    <t>1 06 06033 00 0000 110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</si>
  <si>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</si>
  <si>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</si>
  <si>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</si>
  <si>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 xml:space="preserve">1 06 06033 13 1000 110 </t>
  </si>
  <si>
    <t>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</si>
  <si>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1 06 06033 13 3000 110 </t>
  </si>
  <si>
    <t xml:space="preserve">Земельный налог с физических лиц </t>
  </si>
  <si>
    <t>1 06 06043 00 0000 110</t>
  </si>
  <si>
    <t>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</si>
  <si>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</si>
  <si>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</si>
  <si>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1 06 06043 13 1000 110</t>
  </si>
  <si>
    <t>ГОСУДАРТВЕННАЯ ПОШЛИНА</t>
  </si>
  <si>
    <t xml:space="preserve">1 08 00000 00 0000 000  </t>
  </si>
  <si>
    <t>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</si>
  <si>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 в соответствии законодательными актами Российской Федерации на совершение нотариальных действий </t>
  </si>
  <si>
    <t>1 08 04020 01  1000 110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</si>
  <si>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</si>
  <si>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</si>
  <si>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</si>
  <si>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</si>
  <si>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</si>
  <si>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</si>
  <si>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</si>
  <si>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Прочие поступления от использования имущества, находящегося  в собственности городских поселений (за исключением имущества муниципальных бюджетных, автономных учреждений, а так же имущество муниципальных унитарных предприятий, в том числе казенных)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</si>
  <si>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</si>
  <si>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</si>
  <si>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</si>
  <si>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(сумма платежа);</t>
  </si>
  <si>
    <t>1 11 05013 13 0016 120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</si>
  <si>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(доходы от продажи права на заключение договоров аренды указанных земельных участков)</t>
  </si>
  <si>
    <t>1 11 05013 13 0019 120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</si>
  <si>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</si>
  <si>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1 11 05313 13 0000 120</t>
  </si>
  <si>
    <t xml:space="preserve">ДОХОДЫ ОТ ОКАЗАНИЯ ПЛАТНЫХ УЛУГ (РАБОТ) И КОМПЕНАЦИИ ЗАТРАТ ГОСУДАРТВА </t>
  </si>
  <si>
    <t>1 13 00000 00 0000 000</t>
  </si>
  <si>
    <t xml:space="preserve">Прочие доходы от оказания платных услуг (работ) получателями средств бюджетов городских поселений </t>
  </si>
  <si>
    <t>1 13 01995  13 0000 130</t>
  </si>
  <si>
    <t xml:space="preserve">ДОХОДЫ ОТ ПРОДАЖИ МАТЕРИАЛЬНЫХ И НЕМАТЕРИАЛЬНЫХ АКТИВОВ  </t>
  </si>
  <si>
    <t>1 14 00000 00 0000 000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</si>
  <si>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</si>
  <si>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</si>
  <si>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продажи земельных участков, государственная собственность,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</si>
  <si>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</si>
  <si>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 xml:space="preserve">Доходы от продажи земельных участков, государственная собственность,  на которые не разграничена  и которые расположены в границах городских поселений </t>
  </si>
  <si>
    <t>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</si>
  <si>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</si>
  <si>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</si>
  <si>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Штрафы, санкции, возмещение ущерба</t>
  </si>
  <si>
    <t>1 16 00000 00 0000 000</t>
  </si>
  <si>
    <t>Административные штрафы, установленные Главой 7 Кодекса РФ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контроля.</t>
  </si>
  <si>
    <t>1 16 01074 01 0000 140</t>
  </si>
  <si>
    <t>1 16 07090 13 0000 140</t>
  </si>
  <si>
    <t>Прочие неналоговые доходы бюджетов городских поселений</t>
  </si>
  <si>
    <t>1 17 05050 13 0000 180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</si>
  <si>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</si>
  <si>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</si>
  <si>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</si>
  <si>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</si>
  <si>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</si>
  <si>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2 02 25555 13 0000 150</t>
  </si>
  <si>
    <t>2 02 29999 13 0000 150</t>
  </si>
  <si>
    <t>2 02 35118 13 0000 150</t>
  </si>
  <si>
    <t>2 02 30024 13 0000 150</t>
  </si>
  <si>
    <t>Итого</t>
  </si>
  <si>
    <t>условно утвержденные</t>
  </si>
  <si>
    <t>Расходы без безвозмез</t>
  </si>
  <si>
    <t>Сумма расходов</t>
  </si>
  <si>
    <t>сумма доходов</t>
  </si>
  <si>
    <t>Расходы</t>
  </si>
  <si>
    <t>дефицит %</t>
  </si>
  <si>
    <t>безвозмездные</t>
  </si>
  <si>
    <t>НАЦИОНАЛЬНАЯ ОБОРОНА</t>
  </si>
  <si>
    <t>КУЛЬТУРА, КИНЕМАТОГРАФИЯ</t>
  </si>
  <si>
    <t>ЖИЛИЩНО-КОММУНАЛЬНОЕ ХОЗЯЙСТВО</t>
  </si>
  <si>
    <t>ОБСЛУЖИВАНИЕ ГОСУДАРСТВЕННОГО (МУНИЦИПАЛЬНОГО) ДОЛГА</t>
  </si>
  <si>
    <t>МЕЖБЮДЖЕТНЫЕ ТРАНСФЕРТЫ ОБЩЕГО ХАРАКТЕРА БЮДЖЕТАМ БЮДЖЕТНОЙ СИСТЕМЫ РОССИЙСКОЙ ФЕДЕРАЦИИ</t>
  </si>
  <si>
    <t>ОХРАНА ОКРУЖАЮЩЕЙ СРЕДЫ</t>
  </si>
  <si>
    <t>ПРИЛОЖЕНИЕ № 3</t>
  </si>
  <si>
    <t>муниципального образования "О бюджете</t>
  </si>
  <si>
    <t xml:space="preserve"> Марковского муниципального образования на</t>
  </si>
  <si>
    <t xml:space="preserve">                                                                                                                                                    Наименование</t>
  </si>
  <si>
    <t>ПРИЛОЖЕНИЕ   № 10</t>
  </si>
  <si>
    <t>Физическая культура и спорт</t>
  </si>
  <si>
    <t>21.5.00.00000</t>
  </si>
  <si>
    <t>Приобретение оборудования и создание плоскостных спортивных сооружений в сельской местности</t>
  </si>
  <si>
    <t>Другие вопросы в области охраны окружающей среды</t>
  </si>
  <si>
    <t xml:space="preserve"> на 2024  год </t>
  </si>
  <si>
    <t xml:space="preserve"> на 2025 год </t>
  </si>
  <si>
    <t>Физическая культура</t>
  </si>
  <si>
    <t>Бюджетные инвестиции в объекты капитального строительства государственной (муниципальной) собственности (Строительство магистральных сетей водоснабжения для микрорайонов ОБ)</t>
  </si>
  <si>
    <t>Бюджетные инвестиции в объекты капитального строительства государственной (муниципальной) собственности (Строительство магистральных сетей водоснабжения для микрорайонов МБ)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</si>
  <si>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</si>
  <si>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</si>
  <si>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</si>
  <si>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</si>
  <si>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</si>
  <si>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Другие вопросы в области жилищно-коммунального хозяйства</t>
  </si>
  <si>
    <t xml:space="preserve"> к решению Думы Марковского</t>
  </si>
  <si>
    <t xml:space="preserve">         </t>
  </si>
  <si>
    <t>Виды заимствований</t>
  </si>
  <si>
    <t xml:space="preserve">Верхний предел муниципального долга, всего  </t>
  </si>
  <si>
    <t>в том числе:</t>
  </si>
  <si>
    <t>Остаток не погашенного кредита на начало года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</si>
  <si>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</si>
  <si>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</si>
  <si>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</si>
  <si>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</si>
  <si>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>3. Бюджетные кредиты от других бюджетов бюджетной системы Российской Федерации, в том числе:</t>
  </si>
  <si>
    <t>2023 год</t>
  </si>
  <si>
    <t>2024 год</t>
  </si>
  <si>
    <t>2025 год</t>
  </si>
  <si>
    <t xml:space="preserve">Дорожное хозяйство </t>
  </si>
  <si>
    <t>22.7.00.00000</t>
  </si>
  <si>
    <t>22.7.00.99004</t>
  </si>
  <si>
    <t>Муниципальная программа "Развитие дорожного хозяйства и и сети искусственных сооружений на территории Марковского муниципального образования"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</si>
  <si>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</si>
  <si>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</si>
  <si>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</si>
  <si>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 xml:space="preserve"> Другие вопросы в области национальной экономики</t>
  </si>
  <si>
    <t>Благоустройство в границе поселения</t>
  </si>
  <si>
    <t xml:space="preserve">Молодежная политика и оздоровление детей </t>
  </si>
  <si>
    <t xml:space="preserve">КУЛЬТУРА, КИНЕМАТОГРАФИЯ   </t>
  </si>
  <si>
    <t>Межбюджетные трансферты бюджетам субъектов Российской Федерации и муниципальных образований общего характера</t>
  </si>
  <si>
    <t>тыс. руб</t>
  </si>
  <si>
    <t xml:space="preserve">                         ПРИЛОЖЕНИЕ №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</si>
  <si>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 НА ПЛАНОВЫЙ ПЕРИОД  2024 И 2025 ГОДОВ   </t>
  </si>
  <si>
    <t>Муниципальная программа «Обеспечение пожарной безопасности на территории Марковского муниципального образования»</t>
  </si>
  <si>
    <t>2 02 25243 13 0000 150</t>
  </si>
  <si>
    <t>20.3.F5.52430</t>
  </si>
  <si>
    <t>20.3.F5.00000</t>
  </si>
  <si>
    <t>1 01 02020 01 1000 110</t>
  </si>
  <si>
    <t>1 01 02080 01 1000 110</t>
  </si>
  <si>
    <t xml:space="preserve">"О внесении изменений в Решение Думы Марковского </t>
  </si>
  <si>
    <t>к решению Думы Марковского  муниципального образования</t>
  </si>
  <si>
    <t>Марковского муниципального образования на</t>
  </si>
  <si>
    <t>ПРИЛОЖЕНИЕ № 12</t>
  </si>
  <si>
    <t>ПРИЛОЖЕНИЕ № 11</t>
  </si>
  <si>
    <t xml:space="preserve"> муниципального образования «О внесении</t>
  </si>
  <si>
    <t xml:space="preserve"> изменений в Решение думы </t>
  </si>
  <si>
    <t xml:space="preserve">Марковского муниципального  образования "О бюджете </t>
  </si>
  <si>
    <t>20.2.0099001</t>
  </si>
  <si>
    <t>91.1.00.60101</t>
  </si>
  <si>
    <t>Закупка товаров, работ и услуг для обеспечения государственных (муниципальных) услуг (МБ)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</si>
  <si>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</si>
  <si>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</si>
  <si>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Земельный налог с физических лиц,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</si>
  <si>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1 06 06043 13 3000 110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</si>
  <si>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</si>
  <si>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1 16 18000 02 0000 140</t>
  </si>
  <si>
    <t>20.1.00.S2916</t>
  </si>
  <si>
    <t>Проценты отнесенные на основной долг в соответствии с Постановлением Правительства Иркутской области от 14.01.2022 № 14-пп</t>
  </si>
  <si>
    <t>Объем списания в соответствии с Постановлением Правительства Иркутской области от 14.01.2022 № 14-пп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</si>
  <si>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учреждением)гор. посел.</t>
  </si>
  <si>
    <t xml:space="preserve">Государственная пошлина на совершение нотариальных действий     (за исключение действий, совершаемых консульскими учреждениями РФ)  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</si>
  <si>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</si>
  <si>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 227, 227.1, 228 НК РФ</t>
  </si>
  <si>
    <t xml:space="preserve"> 2023 год и на плановый период 2024 и 2025 годов»</t>
  </si>
  <si>
    <t xml:space="preserve">ПРОГРАММА МУНИЦИПАЛЬНЫХ ВНУТРЕННИХ ЗАИМСТВОВАНИЙ </t>
  </si>
  <si>
    <t>Иные межбюджетные трансферты бюджетам городских и сельских поселений, входящих в состав Иркутского районного муниципального образования, на поддержку мер по обеспечению сбалансированноти местных бюджетов</t>
  </si>
  <si>
    <t>2 02 49999 13 0000150</t>
  </si>
  <si>
    <t xml:space="preserve">  Обеспечение деятельности в сфере установленных функций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</si>
  <si>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</si>
  <si>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</si>
  <si>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</si>
  <si>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</si>
  <si>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</si>
  <si>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</si>
  <si>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</si>
  <si>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Закупка энергетических ресурсов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</si>
  <si>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</si>
  <si>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</si>
  <si>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прочих налогов, сборов</t>
  </si>
  <si>
    <t xml:space="preserve">  Уплата иных платежей</t>
  </si>
  <si>
    <t xml:space="preserve">  Субвенции на осуществление отдельных областных государственных полномочий в сфере водоснабжения и водоотведения</t>
  </si>
  <si>
    <t xml:space="preserve">  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</si>
  <si>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 xml:space="preserve">  Резервный фонд администрации муниципального образования</t>
  </si>
  <si>
    <t xml:space="preserve">  Резервные средства</t>
  </si>
  <si>
    <t xml:space="preserve">  Обеспечение деятельности в сфере установленных функций бюджетных, автономных и казенных учреждений</t>
  </si>
  <si>
    <t xml:space="preserve">  Другие общегосударственные вопросы</t>
  </si>
  <si>
    <t xml:space="preserve">  Социальное обеспечение и иные выплаты населению</t>
  </si>
  <si>
    <t xml:space="preserve">  Строительство, реконструкция, капитальный ремонт в сфере установленных функций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</si>
  <si>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</si>
  <si>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Подготовка населения и организаций к действиям в чрезвычайной ситуации в мирное и военное время</t>
  </si>
  <si>
    <t xml:space="preserve">  Иные мероприятия</t>
  </si>
  <si>
    <t xml:space="preserve">  Реализация мероприятий по ремонту и содержанию автомобильных дорог общего пользования местного значения, в рамках муниципальной программы за счет средств местного бюджета</t>
  </si>
  <si>
    <t xml:space="preserve">  Осуществление дорожной деятельности в отношении автомобильных дорого общего пользования местного значения, входящих в транспортный каркас Иркутской области</t>
  </si>
  <si>
    <t xml:space="preserve">  Иные мероприятия в сфере установленных функций</t>
  </si>
  <si>
    <t xml:space="preserve">  Реализация мероприятий перечня проектов народных инициатив</t>
  </si>
  <si>
    <t xml:space="preserve">  Реализация мероприятий муниципальной программы за счет средств местного бюджета</t>
  </si>
  <si>
    <t xml:space="preserve">  Развитие сетей уличного освещения на территории МО 2019-2021 годы</t>
  </si>
  <si>
    <t xml:space="preserve">  Уличное освещение</t>
  </si>
  <si>
    <t xml:space="preserve">  Прочие мероприятия по благоустройству городских округов и поселений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</si>
  <si>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</si>
  <si>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</si>
  <si>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</si>
  <si>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Мероприятия по осуществлению деятельности дворцов и домов культуры, других учреждений культуры</t>
  </si>
  <si>
    <t xml:space="preserve">  Мероприятия для детей и молодежи</t>
  </si>
  <si>
    <t xml:space="preserve">  Мероприятия, проводимые к юбилейным и знаменательным датам</t>
  </si>
  <si>
    <t xml:space="preserve">  Доплаты к пенсиям муниципальных служащих</t>
  </si>
  <si>
    <t xml:space="preserve">  Публичные нормативные социальные выплаты гражданам</t>
  </si>
  <si>
    <t xml:space="preserve">  Иные пенсии, социальные доплаты к пенсиям</t>
  </si>
  <si>
    <t xml:space="preserve">  Доступная среда для инвалидов</t>
  </si>
  <si>
    <t xml:space="preserve">  Обслуживание муниципального долга</t>
  </si>
  <si>
    <t xml:space="preserve">  Обслуживание государственного (муниципального) долга</t>
  </si>
  <si>
    <t xml:space="preserve">  Иные межбюджетные трансферты</t>
  </si>
  <si>
    <t xml:space="preserve">  Межбюджетные трансферты</t>
  </si>
  <si>
    <t>717</t>
  </si>
  <si>
    <t>00 0 00 00000</t>
  </si>
  <si>
    <t>100</t>
  </si>
  <si>
    <t>500</t>
  </si>
  <si>
    <t>91 1 00 60001</t>
  </si>
  <si>
    <t>91 2 00 73110</t>
  </si>
  <si>
    <t>91 2 00 73150</t>
  </si>
  <si>
    <t>91 1 00 60004</t>
  </si>
  <si>
    <t>91 1 00 60002</t>
  </si>
  <si>
    <t>91 1 00 60005</t>
  </si>
  <si>
    <t>91 1 00 60008</t>
  </si>
  <si>
    <t>91 3 00 51180</t>
  </si>
  <si>
    <t>91 1 00 60006</t>
  </si>
  <si>
    <t>21 4 00 99020</t>
  </si>
  <si>
    <t>20 1 00 99026</t>
  </si>
  <si>
    <t>20 1 00 S2916</t>
  </si>
  <si>
    <t>91 1 00 60011</t>
  </si>
  <si>
    <t>91 4 00 S2370</t>
  </si>
  <si>
    <t>20 2 00 99001</t>
  </si>
  <si>
    <t>20 3 F5 52430</t>
  </si>
  <si>
    <t>22 7 00 99004</t>
  </si>
  <si>
    <t>91 1 00 60101</t>
  </si>
  <si>
    <t>91 1 00 60105</t>
  </si>
  <si>
    <t>91 1 00 60015</t>
  </si>
  <si>
    <t>91 1 00 60014</t>
  </si>
  <si>
    <t>91 1 00 60013</t>
  </si>
  <si>
    <t>91 1 00 60018</t>
  </si>
  <si>
    <t>23 1 00 99038</t>
  </si>
  <si>
    <t>21 5 00 S2922</t>
  </si>
  <si>
    <t>91 1 00 60019</t>
  </si>
  <si>
    <t>91 1 00 60020</t>
  </si>
  <si>
    <t>320</t>
  </si>
  <si>
    <t>321</t>
  </si>
  <si>
    <t xml:space="preserve">Иные межбюджетные трансферты </t>
  </si>
  <si>
    <t>2 02 00000 00 0000 000</t>
  </si>
  <si>
    <t>2 02 40000 00 0000 150</t>
  </si>
  <si>
    <t>2 02 30000 00 0000 150</t>
  </si>
  <si>
    <t>2 02 10000 00 0000 150</t>
  </si>
  <si>
    <t xml:space="preserve"> Дотации бюджетам бюджетной системы Российской Федерации</t>
  </si>
  <si>
    <t xml:space="preserve"> Субсидии бюджетам городских поселений на строительство и реконструкцию (модернизацию) объектов питьевого водоснабжения</t>
  </si>
  <si>
    <t xml:space="preserve"> Субсидии бюджетам городских поселений на реализацию программ формирования современной городской среды</t>
  </si>
  <si>
    <t xml:space="preserve"> Прочие субсидии бюджетам городских поселений</t>
  </si>
  <si>
    <t>Субвенции бюджетам бюджетной системы Российской Федерации</t>
  </si>
  <si>
    <t xml:space="preserve"> 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</si>
  <si>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</si>
  <si>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дорожной деятельности в отношении автомобильных дорого общего пользования местного значения, входящих в транспортный каркас Иркутской области</t>
  </si>
  <si>
    <t>Реализация мероприятий перечня проектов народных инициатив</t>
  </si>
  <si>
    <t>Строительство и реконструкция (Модернизация) объектов питьевого водоснабжения</t>
  </si>
  <si>
    <t>Развитие сети уличного освещения на территории МО</t>
  </si>
  <si>
    <t>Доступная среда для инвалидов</t>
  </si>
  <si>
    <t>Социальное обеспечение и иные выплаты населению</t>
  </si>
  <si>
    <t>Социальные выплаты гражданам, кроме публичных нормативных социальных выплат</t>
  </si>
  <si>
    <t>Пособия, компенсации и иные социальные выплаты гражданам, кроме публичных нормативных обязательств</t>
  </si>
  <si>
    <t>Бюджетные инвестиции в объекты капитального строительства государственной (муниципальной) собственности, в т.ч.</t>
  </si>
  <si>
    <t>Прочая закупка товаров, работ и услуг</t>
  </si>
  <si>
    <t>Закупка товаров, работ, услуг в целях капитального ремонта государственного (муниципального) имущества "Ремонт дорог, входящих в транспортный каркас Иркутской области" ОБ</t>
  </si>
  <si>
    <t>Закупка товаров, работ, услуг в целях капитального ремонта государственного (муниципального) имущества "Ремонт дорог, входящих в транспортный каркас Иркутской области"МБ</t>
  </si>
  <si>
    <t xml:space="preserve">  Закупка товаров, работ и услуг в целях капитального ремонта государственного (муниципального) имущества, в т.ч.:</t>
  </si>
  <si>
    <t>ПРОГНОЗИРУЕМЫЕ ДОХОДЫ МАРКОВСКОГО МУНИЦИПАЛЬНОГО ОБРАЗОВАНИЯ НА 2024 ГОД</t>
  </si>
  <si>
    <t xml:space="preserve"> на 2024 год </t>
  </si>
  <si>
    <t>на 2025 год</t>
  </si>
  <si>
    <t>на 2026 год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</si>
  <si>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650 000,00 рублей) сумма платежа (перерасчеты, недоимка и задолженность по соответствующему платежу, в том числе по отмененному)</t>
  </si>
  <si>
    <t>1 01 02130 01 1000 110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</si>
  <si>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гражданами,осуществляющими трудовую деятельность по найму на основании патента в соответствии со статьёй 2271 НК РФ (сумма платежа (перерасчеты, недоимка и задолженность по соответствующему платежу, в том числе отмененному)</t>
  </si>
  <si>
    <t>1 01 02140 01 1000 110</t>
  </si>
  <si>
    <t>НАЛОГОВЫЕ ДОХОДЫ</t>
  </si>
  <si>
    <t xml:space="preserve">ПРОГНОЗИРУЕМЫЕ ДОХОДЫ МАРКОВСКОГО МУНИЦИПАЛЬНОГО ОБРАЗОВАНИЯ НА ПЛАНОВЫЙ ПЕРИОД  2025 И 2026 ГОДОВ 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</si>
  <si>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</si>
  <si>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1 11 09080 13 0000 120</t>
  </si>
  <si>
    <t xml:space="preserve"> на 2024 год  </t>
  </si>
  <si>
    <t xml:space="preserve">РАСПРЕДЕЛЕНИЕ БЮДЖЕТНЫХ АССИГНОВАНИЙ ПО РАЗДЕЛАМ, ПОДРАЗДЕЛАМ,   КЛАССИФИКАЦИИ РАСХОДОВ БЮДЖЕТОВ НА 2024 ГОД </t>
  </si>
  <si>
    <t xml:space="preserve">ПРИЛОЖЕНИЕ 1   
к решению Думы Марковского муниципального  образования "О внесении изменений в Решение Думы Марковского муниципального образования "О бюджете Марковского муниципального образования на 2024 год и на плановый период 2025 и 2026 годов"
 от                                           №                          /Дгп         </t>
  </si>
  <si>
    <t xml:space="preserve">ПРИЛОЖЕНИЕ 2   
к решению Думы Марковского муниципального  образования "О внесении изменений в Решение Думы Марковского муниципального образования "О бюджете Марковского муниципального образования на 2024 год и на плановый период 2025 и 2026 годов"
 от                                           №                          /Дгп        </t>
  </si>
  <si>
    <t>от                                           №                          /Дгп</t>
  </si>
  <si>
    <t>на 2024 год и на плановый период 2025 и 2026</t>
  </si>
  <si>
    <t>ПРИЛОЖЕНИЕ 4   
к решению Думы Марковского муниципального  образования "О внесении изменений в Решение Думы Марковского муниципального образования "О бюджете Марковского муниципального образования на 2024 год и на плановый период 2025 и 2026 годов"
от                                           №                          /Дгп</t>
  </si>
  <si>
    <t xml:space="preserve">РАСПРЕДЕЛЕНИЕ БЮДЖЕТНЫХ АССИГНОВАНИЙ ПО РАЗДЕЛАМ, ПОДРАЗДЕЛАМ,   КЛАССИФИКАЦИИ РАСХОДОВ БЮДЖЕТОВ НА ПЛАНОВЫЙ ПЕРИОД  2025 И 2026 ГОДОВ </t>
  </si>
  <si>
    <t>2026 год</t>
  </si>
  <si>
    <t xml:space="preserve"> 2024 год и на плановый период 2025 и 2026 годов»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</si>
  <si>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НА 2024 ГОД </t>
  </si>
  <si>
    <t xml:space="preserve">  от                                           №                          /Дгп</t>
  </si>
  <si>
    <t xml:space="preserve"> на 2025  год </t>
  </si>
  <si>
    <t xml:space="preserve"> на 2026 год </t>
  </si>
  <si>
    <t>ПРИЛОЖЕНИЕ № 7   
к решению Думы Марковского муниципального  образования "О внесении изменений в Решение Думы Марковского муниципального образования "О бюджете Марковского муниципального образования на 2024 год и на плановый период 2025 и 2026 годов"
от                                           №                          /Дгп</t>
  </si>
  <si>
    <t>РАСПРЕДЕЛЕНИЕ БЮДЖЕТНЫХ АССИГНОВАНИЙ ПО РАЗДЕЛАМ, ПОДРАЗДЕЛАМ, ЦЕЛЕВЫМ СТАТЬЯМ  ГРУППАМ ВИДОВ РАСХОДОВ    НА   2024  ГОД</t>
  </si>
  <si>
    <t>Закупка товаров, работ, услуг  (ОБ)</t>
  </si>
  <si>
    <t>Закупка товаров, работ, услуг  (МБ)</t>
  </si>
  <si>
    <t>ПРИЛОЖЕНИЕ 8   
к решению Думы Марковского муниципального  образования "О внесении изменений в Решение Думы Марковского муниципального образования "О бюджете Марковского муниципального образования на 2024 год и на плановый период 2025 и 2026 годов"
от                                           №                          /Дгп</t>
  </si>
  <si>
    <t>РАСПРЕДЕЛЕНИЕ БЮДЖЕТНЫХ АССИГНОВАНИЙ ПО РАЗДЕЛАМ, ПОДРАЗДЕЛАМ, ЦЕЛЕВЫМ СТАТЬЯМ  ГРУППАМ ВИДОВ РАСХОДОВ НА  ПЛАНОВЫЙ ПЕРИОД 2025 И 2026  ГОДОВ</t>
  </si>
  <si>
    <t>ПРИЛОЖЕНИЕ 9   
к решению Думы Марковского муниципального  образования "О внесении изменений в Решение Думы Марковского муниципального образования "О бюджете Марковского муниципального образования на 2024 год и на плановый период 2025 и 2026 годов"
от                                           №                          /Дгп</t>
  </si>
  <si>
    <t>Сумма  на 2024 год уточнение</t>
  </si>
  <si>
    <t>2024 год и на плановый период 2025 и 2026 годов»</t>
  </si>
  <si>
    <t xml:space="preserve">            МАРКОВСКОГО МУНИЦИПАЛЬНОГО ОБРАЗОВАНИЯ НА 2024 ГОД</t>
  </si>
  <si>
    <t xml:space="preserve">            МАРКОВСКОГО МУНИЦИПАЛЬНОГО ОБРАЗОВАНИЯ НА ПЛАНОВЫЙ ПЕРИОД 2025 И 2026 ГОДОВ </t>
  </si>
  <si>
    <t xml:space="preserve">          Источники внутреннего финансирования дефицита бюджета на 2024 год</t>
  </si>
  <si>
    <t>Источники внутреннего финансирования дефицита бюджета на плановый период 2025 и 2026 годов</t>
  </si>
  <si>
    <t xml:space="preserve">                                                                                                                                         Наименование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</si>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</sst>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 ;[Red]\-#,##0\ "/>
    <numFmt numFmtId="188" formatCode="000000"/>
    <numFmt numFmtId="189" formatCode="0.0%"/>
    <numFmt numFmtId="190" formatCode="#,##0.0"/>
    <numFmt numFmtId="191" formatCode="#,##0.000"/>
    <numFmt numFmtId="192" formatCode="#,##0.0000"/>
    <numFmt numFmtId="193" formatCode="0.000000000000000%"/>
    <numFmt numFmtId="194" formatCode="yyyy\-mm\-dd;@"/>
    <numFmt numFmtId="195" formatCode="#,##0.00000"/>
    <numFmt numFmtId="196" formatCode="0.000000%"/>
    <numFmt numFmtId="197" formatCode="0.000%"/>
    <numFmt numFmtId="198" formatCode="0.0000%"/>
    <numFmt numFmtId="199" formatCode="0.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0.000000000000%"/>
    <numFmt numFmtId="206" formatCode="0.0000000000000%"/>
    <numFmt numFmtId="207" formatCode="#,##0.00_ ;\-#,##0.00"/>
    <numFmt numFmtId="208" formatCode="#,##0.00_ ;\-#,##0.00\ "/>
    <numFmt numFmtId="209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libri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0000"/>
      <name val="Cambria"/>
      <family val="2"/>
    </font>
    <font>
      <sz val="8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libri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0" fontId="40" fillId="0" borderId="1">
      <alignment horizontal="center" vertical="top" wrapText="1"/>
      <protection/>
    </xf>
    <xf numFmtId="0" fontId="40" fillId="0" borderId="1">
      <alignment horizontal="center" vertical="center"/>
      <protection/>
    </xf>
    <xf numFmtId="0" fontId="40" fillId="0" borderId="2">
      <alignment horizontal="left" wrapText="1"/>
      <protection/>
    </xf>
    <xf numFmtId="0" fontId="40" fillId="0" borderId="3">
      <alignment horizontal="left" wrapText="1"/>
      <protection/>
    </xf>
    <xf numFmtId="0" fontId="39" fillId="0" borderId="0">
      <alignment/>
      <protection/>
    </xf>
    <xf numFmtId="0" fontId="40" fillId="0" borderId="4">
      <alignment horizontal="center" vertical="center"/>
      <protection/>
    </xf>
    <xf numFmtId="49" fontId="40" fillId="0" borderId="5">
      <alignment horizontal="center"/>
      <protection/>
    </xf>
    <xf numFmtId="49" fontId="40" fillId="0" borderId="6">
      <alignment horizontal="center"/>
      <protection/>
    </xf>
    <xf numFmtId="49" fontId="40" fillId="0" borderId="1">
      <alignment horizontal="center" vertical="top" wrapText="1"/>
      <protection/>
    </xf>
    <xf numFmtId="4" fontId="40" fillId="0" borderId="5">
      <alignment horizontal="right" shrinkToFit="1"/>
      <protection/>
    </xf>
    <xf numFmtId="0" fontId="41" fillId="0" borderId="0">
      <alignment horizontal="center"/>
      <protection/>
    </xf>
    <xf numFmtId="49" fontId="40" fillId="0" borderId="7">
      <alignment horizontal="left" wrapText="1"/>
      <protection/>
    </xf>
    <xf numFmtId="0" fontId="41" fillId="0" borderId="8">
      <alignment horizontal="center"/>
      <protection/>
    </xf>
    <xf numFmtId="0" fontId="40" fillId="0" borderId="9">
      <alignment horizontal="left" wrapText="1"/>
      <protection/>
    </xf>
    <xf numFmtId="0" fontId="40" fillId="0" borderId="10">
      <alignment horizontal="left" wrapText="1"/>
      <protection/>
    </xf>
    <xf numFmtId="0" fontId="39" fillId="0" borderId="11">
      <alignment/>
      <protection/>
    </xf>
    <xf numFmtId="0" fontId="40" fillId="0" borderId="12">
      <alignment horizontal="center" shrinkToFit="1"/>
      <protection/>
    </xf>
    <xf numFmtId="0" fontId="40" fillId="0" borderId="13">
      <alignment horizontal="center" shrinkToFit="1"/>
      <protection/>
    </xf>
    <xf numFmtId="49" fontId="40" fillId="0" borderId="14">
      <alignment horizontal="center" wrapText="1"/>
      <protection/>
    </xf>
    <xf numFmtId="49" fontId="40" fillId="0" borderId="15">
      <alignment horizontal="center" shrinkToFit="1"/>
      <protection/>
    </xf>
    <xf numFmtId="0" fontId="39" fillId="0" borderId="16">
      <alignment/>
      <protection/>
    </xf>
    <xf numFmtId="0" fontId="40" fillId="0" borderId="4">
      <alignment horizontal="center" vertical="center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/>
      <protection/>
    </xf>
    <xf numFmtId="49" fontId="40" fillId="0" borderId="4">
      <alignment horizontal="center" vertical="center" shrinkToFit="1"/>
      <protection/>
    </xf>
    <xf numFmtId="207" fontId="40" fillId="0" borderId="6">
      <alignment horizontal="right" shrinkToFit="1"/>
      <protection/>
    </xf>
    <xf numFmtId="4" fontId="40" fillId="0" borderId="17">
      <alignment horizontal="right" wrapText="1"/>
      <protection/>
    </xf>
    <xf numFmtId="4" fontId="40" fillId="0" borderId="18">
      <alignment horizontal="right" shrinkToFit="1"/>
      <protection/>
    </xf>
    <xf numFmtId="49" fontId="40" fillId="0" borderId="0">
      <alignment horizontal="right"/>
      <protection/>
    </xf>
    <xf numFmtId="4" fontId="40" fillId="0" borderId="19">
      <alignment horizontal="right" shrinkToFit="1"/>
      <protection/>
    </xf>
    <xf numFmtId="207" fontId="40" fillId="0" borderId="20">
      <alignment horizontal="right" shrinkToFit="1"/>
      <protection/>
    </xf>
    <xf numFmtId="4" fontId="40" fillId="0" borderId="21">
      <alignment horizontal="right" wrapText="1"/>
      <protection/>
    </xf>
    <xf numFmtId="49" fontId="40" fillId="0" borderId="22">
      <alignment horizontal="center"/>
      <protection/>
    </xf>
    <xf numFmtId="0" fontId="41" fillId="0" borderId="23">
      <alignment horizontal="center"/>
      <protection/>
    </xf>
    <xf numFmtId="49" fontId="42" fillId="0" borderId="23">
      <alignment/>
      <protection/>
    </xf>
    <xf numFmtId="49" fontId="42" fillId="0" borderId="24">
      <alignment/>
      <protection/>
    </xf>
    <xf numFmtId="0" fontId="42" fillId="0" borderId="24">
      <alignment wrapText="1"/>
      <protection/>
    </xf>
    <xf numFmtId="0" fontId="42" fillId="0" borderId="24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3" fillId="26" borderId="25" applyNumberFormat="0" applyAlignment="0" applyProtection="0"/>
    <xf numFmtId="0" fontId="44" fillId="27" borderId="26" applyNumberFormat="0" applyAlignment="0" applyProtection="0"/>
    <xf numFmtId="0" fontId="45" fillId="27" borderId="2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0" applyNumberFormat="0" applyFill="0" applyAlignment="0" applyProtection="0"/>
    <xf numFmtId="0" fontId="50" fillId="28" borderId="31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3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33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8" fillId="0" borderId="3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34" xfId="0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34" xfId="0" applyFont="1" applyFill="1" applyBorder="1" applyAlignment="1">
      <alignment vertical="center" wrapText="1"/>
    </xf>
    <xf numFmtId="0" fontId="59" fillId="0" borderId="35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5" fillId="33" borderId="3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5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left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9" fontId="60" fillId="33" borderId="34" xfId="45" applyFont="1" applyFill="1" applyBorder="1" applyAlignment="1">
      <alignment horizontal="left" vertical="center" wrapText="1"/>
      <protection/>
    </xf>
    <xf numFmtId="0" fontId="4" fillId="33" borderId="34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5" fillId="33" borderId="3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1" fillId="33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1" fillId="0" borderId="0" xfId="0" applyFont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" fontId="4" fillId="33" borderId="34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left" vertical="center"/>
    </xf>
    <xf numFmtId="4" fontId="4" fillId="33" borderId="34" xfId="0" applyNumberFormat="1" applyFont="1" applyFill="1" applyBorder="1" applyAlignment="1">
      <alignment horizontal="center" vertical="center" wrapText="1"/>
    </xf>
    <xf numFmtId="190" fontId="5" fillId="33" borderId="34" xfId="0" applyNumberFormat="1" applyFont="1" applyFill="1" applyBorder="1" applyAlignment="1">
      <alignment/>
    </xf>
    <xf numFmtId="190" fontId="4" fillId="33" borderId="34" xfId="0" applyNumberFormat="1" applyFont="1" applyFill="1" applyBorder="1" applyAlignment="1">
      <alignment/>
    </xf>
    <xf numFmtId="0" fontId="62" fillId="33" borderId="9" xfId="47" applyNumberFormat="1" applyFont="1" applyFill="1" applyAlignment="1" applyProtection="1">
      <alignment horizontal="left" vertical="center" wrapText="1"/>
      <protection/>
    </xf>
    <xf numFmtId="0" fontId="5" fillId="33" borderId="34" xfId="0" applyFont="1" applyFill="1" applyBorder="1" applyAlignment="1">
      <alignment vertical="center" wrapText="1"/>
    </xf>
    <xf numFmtId="49" fontId="4" fillId="33" borderId="34" xfId="0" applyNumberFormat="1" applyFont="1" applyFill="1" applyBorder="1" applyAlignment="1">
      <alignment horizontal="justify" vertical="center" wrapText="1"/>
    </xf>
    <xf numFmtId="49" fontId="5" fillId="33" borderId="3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4" borderId="0" xfId="0" applyFont="1" applyFill="1" applyAlignment="1">
      <alignment/>
    </xf>
    <xf numFmtId="4" fontId="4" fillId="35" borderId="3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4" fontId="5" fillId="33" borderId="36" xfId="0" applyNumberFormat="1" applyFont="1" applyFill="1" applyBorder="1" applyAlignment="1">
      <alignment horizontal="center" vertical="center"/>
    </xf>
    <xf numFmtId="4" fontId="4" fillId="10" borderId="34" xfId="0" applyNumberFormat="1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center" vertical="center" wrapText="1"/>
    </xf>
    <xf numFmtId="4" fontId="11" fillId="33" borderId="34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12" fillId="35" borderId="34" xfId="37" applyNumberFormat="1" applyFont="1" applyFill="1" applyBorder="1" applyAlignment="1" applyProtection="1">
      <alignment horizontal="left" vertical="center" wrapText="1"/>
      <protection/>
    </xf>
    <xf numFmtId="49" fontId="12" fillId="35" borderId="34" xfId="51" applyNumberFormat="1" applyFont="1" applyFill="1" applyBorder="1" applyAlignment="1" applyProtection="1">
      <alignment horizontal="center" vertical="center" shrinkToFit="1"/>
      <protection/>
    </xf>
    <xf numFmtId="49" fontId="12" fillId="35" borderId="34" xfId="41" applyNumberFormat="1" applyFont="1" applyFill="1" applyBorder="1" applyAlignment="1" applyProtection="1">
      <alignment horizontal="center" vertical="center"/>
      <protection/>
    </xf>
    <xf numFmtId="0" fontId="62" fillId="33" borderId="34" xfId="47" applyNumberFormat="1" applyFont="1" applyFill="1" applyBorder="1" applyAlignment="1" applyProtection="1">
      <alignment horizontal="left" vertical="center" wrapText="1"/>
      <protection/>
    </xf>
    <xf numFmtId="49" fontId="62" fillId="33" borderId="34" xfId="52" applyNumberFormat="1" applyFont="1" applyFill="1" applyBorder="1" applyAlignment="1" applyProtection="1">
      <alignment horizontal="center" vertical="center" wrapText="1"/>
      <protection/>
    </xf>
    <xf numFmtId="49" fontId="62" fillId="33" borderId="34" xfId="56" applyNumberFormat="1" applyFont="1" applyFill="1" applyBorder="1" applyAlignment="1" applyProtection="1">
      <alignment horizontal="center" vertical="center" wrapText="1"/>
      <protection/>
    </xf>
    <xf numFmtId="0" fontId="63" fillId="33" borderId="34" xfId="47" applyNumberFormat="1" applyFont="1" applyFill="1" applyBorder="1" applyAlignment="1" applyProtection="1">
      <alignment horizontal="left" vertical="center" wrapText="1"/>
      <protection/>
    </xf>
    <xf numFmtId="49" fontId="63" fillId="33" borderId="34" xfId="52" applyNumberFormat="1" applyFont="1" applyFill="1" applyBorder="1" applyAlignment="1" applyProtection="1">
      <alignment horizontal="center" vertical="center" wrapText="1"/>
      <protection/>
    </xf>
    <xf numFmtId="49" fontId="63" fillId="33" borderId="34" xfId="56" applyNumberFormat="1" applyFont="1" applyFill="1" applyBorder="1" applyAlignment="1" applyProtection="1">
      <alignment horizontal="center" vertical="center" wrapText="1"/>
      <protection/>
    </xf>
    <xf numFmtId="0" fontId="63" fillId="33" borderId="9" xfId="47" applyNumberFormat="1" applyFont="1" applyFill="1" applyAlignment="1" applyProtection="1">
      <alignment horizontal="left" vertical="center" wrapText="1"/>
      <protection/>
    </xf>
    <xf numFmtId="49" fontId="63" fillId="33" borderId="14" xfId="52" applyNumberFormat="1" applyFont="1" applyFill="1" applyAlignment="1" applyProtection="1">
      <alignment horizontal="center" vertical="center" wrapText="1"/>
      <protection/>
    </xf>
    <xf numFmtId="49" fontId="63" fillId="33" borderId="17" xfId="56" applyNumberFormat="1" applyFont="1" applyFill="1" applyAlignment="1" applyProtection="1">
      <alignment horizontal="center" vertical="center" wrapText="1"/>
      <protection/>
    </xf>
    <xf numFmtId="49" fontId="62" fillId="33" borderId="14" xfId="52" applyNumberFormat="1" applyFont="1" applyFill="1" applyAlignment="1" applyProtection="1">
      <alignment horizontal="center" vertical="center" wrapText="1"/>
      <protection/>
    </xf>
    <xf numFmtId="49" fontId="62" fillId="33" borderId="17" xfId="56" applyNumberFormat="1" applyFont="1" applyFill="1" applyAlignment="1" applyProtection="1">
      <alignment horizontal="center" vertical="center" wrapText="1"/>
      <protection/>
    </xf>
    <xf numFmtId="0" fontId="64" fillId="35" borderId="9" xfId="47" applyNumberFormat="1" applyFont="1" applyFill="1" applyAlignment="1" applyProtection="1">
      <alignment horizontal="left" vertical="center" wrapText="1"/>
      <protection/>
    </xf>
    <xf numFmtId="49" fontId="64" fillId="35" borderId="14" xfId="52" applyNumberFormat="1" applyFont="1" applyFill="1" applyAlignment="1" applyProtection="1">
      <alignment horizontal="center" vertical="center" wrapText="1"/>
      <protection/>
    </xf>
    <xf numFmtId="49" fontId="64" fillId="35" borderId="17" xfId="56" applyNumberFormat="1" applyFont="1" applyFill="1" applyAlignment="1" applyProtection="1">
      <alignment horizontal="center" vertical="center" wrapText="1"/>
      <protection/>
    </xf>
    <xf numFmtId="0" fontId="64" fillId="10" borderId="9" xfId="47" applyNumberFormat="1" applyFont="1" applyFill="1" applyAlignment="1" applyProtection="1">
      <alignment horizontal="left" vertical="center" wrapText="1"/>
      <protection/>
    </xf>
    <xf numFmtId="49" fontId="64" fillId="10" borderId="14" xfId="52" applyNumberFormat="1" applyFont="1" applyFill="1" applyAlignment="1" applyProtection="1">
      <alignment horizontal="center" vertical="center" wrapText="1"/>
      <protection/>
    </xf>
    <xf numFmtId="49" fontId="64" fillId="10" borderId="17" xfId="56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4" fillId="35" borderId="34" xfId="47" applyNumberFormat="1" applyFont="1" applyFill="1" applyBorder="1" applyAlignment="1" applyProtection="1">
      <alignment horizontal="left" vertical="center" wrapText="1"/>
      <protection/>
    </xf>
    <xf numFmtId="49" fontId="64" fillId="35" borderId="34" xfId="52" applyNumberFormat="1" applyFont="1" applyFill="1" applyBorder="1" applyAlignment="1" applyProtection="1">
      <alignment horizontal="center" vertical="center" wrapText="1"/>
      <protection/>
    </xf>
    <xf numFmtId="49" fontId="64" fillId="35" borderId="34" xfId="56" applyNumberFormat="1" applyFont="1" applyFill="1" applyBorder="1" applyAlignment="1" applyProtection="1">
      <alignment horizontal="center" vertical="center" wrapText="1"/>
      <protection/>
    </xf>
    <xf numFmtId="0" fontId="64" fillId="10" borderId="34" xfId="47" applyNumberFormat="1" applyFont="1" applyFill="1" applyBorder="1" applyAlignment="1" applyProtection="1">
      <alignment horizontal="left" vertical="center" wrapText="1"/>
      <protection/>
    </xf>
    <xf numFmtId="49" fontId="64" fillId="10" borderId="34" xfId="52" applyNumberFormat="1" applyFont="1" applyFill="1" applyBorder="1" applyAlignment="1" applyProtection="1">
      <alignment horizontal="center" vertical="center" wrapText="1"/>
      <protection/>
    </xf>
    <xf numFmtId="49" fontId="64" fillId="10" borderId="34" xfId="56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 wrapText="1"/>
    </xf>
    <xf numFmtId="0" fontId="58" fillId="0" borderId="34" xfId="0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right" vertical="center" wrapText="1"/>
    </xf>
    <xf numFmtId="4" fontId="5" fillId="0" borderId="34" xfId="0" applyNumberFormat="1" applyFont="1" applyFill="1" applyBorder="1" applyAlignment="1">
      <alignment horizontal="right" vertical="center" wrapText="1"/>
    </xf>
    <xf numFmtId="192" fontId="5" fillId="0" borderId="0" xfId="0" applyNumberFormat="1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4" fillId="33" borderId="38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right" vertical="center"/>
    </xf>
    <xf numFmtId="0" fontId="62" fillId="33" borderId="34" xfId="0" applyFont="1" applyFill="1" applyBorder="1" applyAlignment="1">
      <alignment horizontal="left" vertical="center"/>
    </xf>
    <xf numFmtId="0" fontId="62" fillId="33" borderId="34" xfId="0" applyFont="1" applyFill="1" applyBorder="1" applyAlignment="1">
      <alignment vertical="center"/>
    </xf>
    <xf numFmtId="0" fontId="64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49" fontId="63" fillId="33" borderId="34" xfId="45" applyFont="1" applyFill="1" applyBorder="1" applyAlignment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right" vertical="center" wrapText="1"/>
    </xf>
    <xf numFmtId="0" fontId="5" fillId="33" borderId="34" xfId="0" applyFont="1" applyFill="1" applyBorder="1" applyAlignment="1">
      <alignment horizontal="right" vertical="center" wrapText="1"/>
    </xf>
    <xf numFmtId="0" fontId="63" fillId="33" borderId="34" xfId="0" applyFont="1" applyFill="1" applyBorder="1" applyAlignment="1">
      <alignment horizontal="left" vertical="center" wrapText="1"/>
    </xf>
    <xf numFmtId="0" fontId="62" fillId="33" borderId="34" xfId="0" applyFont="1" applyFill="1" applyBorder="1" applyAlignment="1">
      <alignment horizontal="left" vertical="center" wrapText="1"/>
    </xf>
    <xf numFmtId="0" fontId="12" fillId="33" borderId="34" xfId="0" applyFont="1" applyFill="1" applyBorder="1" applyAlignment="1">
      <alignment horizontal="right" vertical="center" wrapText="1"/>
    </xf>
    <xf numFmtId="0" fontId="60" fillId="33" borderId="34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right" vertical="center" wrapText="1"/>
    </xf>
    <xf numFmtId="4" fontId="13" fillId="33" borderId="34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49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49" fontId="6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14" fontId="5" fillId="33" borderId="0" xfId="0" applyNumberFormat="1" applyFont="1" applyFill="1" applyAlignment="1">
      <alignment horizontal="right" vertical="center"/>
    </xf>
    <xf numFmtId="0" fontId="63" fillId="33" borderId="34" xfId="0" applyFont="1" applyFill="1" applyBorder="1" applyAlignment="1">
      <alignment horizontal="left" vertical="center"/>
    </xf>
    <xf numFmtId="0" fontId="63" fillId="33" borderId="34" xfId="0" applyFont="1" applyFill="1" applyBorder="1" applyAlignment="1">
      <alignment vertical="center"/>
    </xf>
    <xf numFmtId="49" fontId="5" fillId="33" borderId="1" xfId="0" applyNumberFormat="1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/>
    </xf>
    <xf numFmtId="4" fontId="5" fillId="33" borderId="39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49" fontId="11" fillId="33" borderId="37" xfId="0" applyNumberFormat="1" applyFont="1" applyFill="1" applyBorder="1" applyAlignment="1">
      <alignment horizontal="center" vertical="center"/>
    </xf>
    <xf numFmtId="49" fontId="12" fillId="33" borderId="34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4" fontId="5" fillId="33" borderId="3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1" fillId="33" borderId="0" xfId="0" applyFont="1" applyFill="1" applyAlignment="1">
      <alignment horizontal="right" vertical="center"/>
    </xf>
    <xf numFmtId="0" fontId="4" fillId="33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right" vertical="center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xl26" xfId="34"/>
    <cellStyle name="xl27" xfId="35"/>
    <cellStyle name="xl28" xfId="36"/>
    <cellStyle name="xl29" xfId="37"/>
    <cellStyle name="xl31" xfId="38"/>
    <cellStyle name="xl34" xfId="39"/>
    <cellStyle name="xl39" xfId="40"/>
    <cellStyle name="xl40" xfId="41"/>
    <cellStyle name="xl46" xfId="42"/>
    <cellStyle name="xl48" xfId="43"/>
    <cellStyle name="xl51" xfId="44"/>
    <cellStyle name="xl56" xfId="45"/>
    <cellStyle name="xl64" xfId="46"/>
    <cellStyle name="xl70" xfId="47"/>
    <cellStyle name="xl71" xfId="48"/>
    <cellStyle name="xl72" xfId="49"/>
    <cellStyle name="xl73" xfId="50"/>
    <cellStyle name="xl74" xfId="51"/>
    <cellStyle name="xl75" xfId="52"/>
    <cellStyle name="xl76" xfId="53"/>
    <cellStyle name="xl77" xfId="54"/>
    <cellStyle name="xl78" xfId="55"/>
    <cellStyle name="xl79" xfId="56"/>
    <cellStyle name="xl80" xfId="57"/>
    <cellStyle name="xl81" xfId="58"/>
    <cellStyle name="xl82" xfId="59"/>
    <cellStyle name="xl83" xfId="60"/>
    <cellStyle name="xl84" xfId="61"/>
    <cellStyle name="xl85" xfId="62"/>
    <cellStyle name="xl86" xfId="63"/>
    <cellStyle name="xl87" xfId="64"/>
    <cellStyle name="xl88" xfId="65"/>
    <cellStyle name="xl89" xfId="66"/>
    <cellStyle name="xl90" xfId="67"/>
    <cellStyle name="xl91" xfId="68"/>
    <cellStyle name="xl92" xfId="69"/>
    <cellStyle name="xl93" xfId="70"/>
    <cellStyle name="xl9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%2007.2023\&#1044;&#1054;&#1061;&#1054;&#1044;&#1067;\&#1055;&#1056;&#1048;&#1051;&#1054;&#1046;%20&#1082;%20&#1088;&#1077;&#1096;%20&#1044;&#1091;&#1084;&#1099;%20&#1055;&#1056;&#1054;&#1045;&#1050;&#1058;%20&#1041;&#1070;&#1044;&#1046;&#1045;&#1058;&#1040;%202024-2025-2026(22.11.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(2023)"/>
      <sheetName val="прил. 1 21.11"/>
      <sheetName val="прил.1"/>
      <sheetName val="прил.2 21.11"/>
      <sheetName val="прил.2"/>
      <sheetName val="прил.3"/>
      <sheetName val="прил.4"/>
      <sheetName val="прил.5"/>
      <sheetName val="прил.6"/>
      <sheetName val="прил.7"/>
      <sheetName val="прил.7 нов"/>
      <sheetName val="прил.8"/>
      <sheetName val="прил.9"/>
      <sheetName val="прил.10"/>
      <sheetName val="прил. 11"/>
      <sheetName val="прил. 12"/>
    </sheetNames>
    <sheetDataSet>
      <sheetData sheetId="2">
        <row r="4">
          <cell r="B4" t="str">
            <v>Наименование</v>
          </cell>
          <cell r="D4" t="str">
            <v>КБК</v>
          </cell>
          <cell r="I4" t="str">
            <v> на 2024 год </v>
          </cell>
        </row>
        <row r="5">
          <cell r="B5" t="str">
            <v>НАЛОГОВЫЕ И НЕНАЛОГОВЫЕ ДОХОДЫ  </v>
          </cell>
          <cell r="D5" t="str">
            <v>1 00 00000 00 0000 000</v>
          </cell>
          <cell r="I5">
            <v>126797.90000000001</v>
          </cell>
        </row>
        <row r="6">
          <cell r="D6" t="str">
            <v>1 00 00000 00 0000 000</v>
          </cell>
          <cell r="I6">
            <v>102881.90000000001</v>
          </cell>
        </row>
        <row r="7">
          <cell r="B7" t="str">
            <v>НАЛОГИ НА ПРИБЫЛЬ, ДОХОДЫ</v>
          </cell>
          <cell r="C7">
            <v>182</v>
          </cell>
          <cell r="D7" t="str">
            <v>1 01 00000 00 0000 000</v>
          </cell>
          <cell r="I7">
            <v>27398.3</v>
          </cell>
        </row>
        <row r="8">
          <cell r="B8" t="str">
            <v>Налог на доходы физических лиц</v>
          </cell>
          <cell r="C8">
            <v>182</v>
          </cell>
          <cell r="D8" t="str">
            <v>1 01 02000 01 0000 110</v>
          </cell>
          <cell r="I8">
            <v>27398.3</v>
          </cell>
        </row>
        <row r="9">
          <cell r="B9" t="str">
            <v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 227, 227.1, 228 НК РФ</v>
          </cell>
          <cell r="C9">
            <v>182</v>
          </cell>
          <cell r="D9" t="str">
            <v>1 01 02010 01 0000 110</v>
          </cell>
          <cell r="I9">
            <v>23723.3</v>
          </cell>
        </row>
        <row r="10">
          <cell r="B10" t="str">
    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v>
          </cell>
          <cell r="C10">
            <v>182</v>
          </cell>
          <cell r="D10" t="str">
            <v>1 01 02010 01 1000 110</v>
          </cell>
          <cell r="I10">
            <v>23723.3</v>
          </cell>
        </row>
        <row r="11">
          <cell r="B11" t="str">
    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v>
          </cell>
          <cell r="C11">
            <v>182</v>
          </cell>
          <cell r="D11" t="str">
            <v>1 01 02010 01 3000 110</v>
          </cell>
          <cell r="I11">
            <v>0</v>
          </cell>
        </row>
        <row r="12">
          <cell r="B12" t="str">
            <v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 занимающихся частной практикой, адвокатов, учредивших адвокатские кабинет</v>
          </cell>
          <cell r="C12">
            <v>182</v>
          </cell>
          <cell r="D12" t="str">
            <v>1 01 02020 01 0000 110</v>
          </cell>
          <cell r="I12">
            <v>153.5</v>
          </cell>
        </row>
        <row r="13">
          <cell r="B13" t="str">
    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v>
          </cell>
          <cell r="C13">
            <v>182</v>
          </cell>
          <cell r="D13" t="str">
            <v>1 01 02020 01 1000 110</v>
          </cell>
          <cell r="I13">
            <v>153.5</v>
          </cell>
        </row>
        <row r="14">
          <cell r="B14" t="str">
    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v>
          </cell>
          <cell r="C14">
            <v>182</v>
          </cell>
          <cell r="D14" t="str">
            <v>1 01 02020 01 3000 110</v>
          </cell>
          <cell r="I14">
            <v>0</v>
          </cell>
        </row>
        <row r="15">
          <cell r="B15" t="str">
            <v>Налог  на доходы физических лиц с доходов,  полученных физическими лицами в соответствии со статьей 228 Налогового Кодекса Российской Федерации  </v>
          </cell>
          <cell r="C15">
            <v>182</v>
          </cell>
          <cell r="D15" t="str">
            <v>1 01 02030 01 0000 110</v>
          </cell>
          <cell r="I15">
            <v>1945.9</v>
          </cell>
        </row>
        <row r="16">
          <cell r="B16" t="str">
    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    </cell>
          <cell r="C16">
            <v>182</v>
          </cell>
          <cell r="D16" t="str">
            <v>1 01 02030 01 1000 110</v>
          </cell>
          <cell r="I16">
            <v>1945.9</v>
          </cell>
        </row>
        <row r="17">
          <cell r="B17" t="str">
    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v>
          </cell>
          <cell r="C17">
            <v>182</v>
          </cell>
          <cell r="D17" t="str">
            <v>1 01 02030 01 3000 110</v>
          </cell>
          <cell r="I17">
            <v>0</v>
          </cell>
        </row>
        <row r="18">
          <cell r="B18" t="str">
            <v>Налог на доходы физических лиц в виде фиксированных авансовых платежей с доходов,  полученных  физическими лицами ,являющиеся иностранными гражданами, осуществляющими трудовую деятельность по найму на основании патента в соответствии  со статьей 227.1 Нал</v>
          </cell>
          <cell r="C18">
            <v>182</v>
          </cell>
          <cell r="D18" t="str">
            <v>1 01 02040 01 1000 110</v>
          </cell>
          <cell r="I18">
            <v>216.1</v>
          </cell>
        </row>
        <row r="19">
          <cell r="B19" t="str">
    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v>
          </cell>
          <cell r="C19">
            <v>182</v>
          </cell>
          <cell r="D19" t="str">
            <v>1 01 02080 01 1000 110</v>
          </cell>
          <cell r="I19">
            <v>342</v>
          </cell>
        </row>
        <row r="22">
          <cell r="B22" t="str">
            <v>НАЛОГИ НА ТОВАРЫ (РАБОТЫ, УСЛУГИ), РЕАЛИЗУЕМЫЕ НА ТЕРРИТОРИИ РОССИЙСКОЙ ФЕДЕРАЦИИ</v>
          </cell>
          <cell r="C22">
            <v>182</v>
          </cell>
          <cell r="D22" t="str">
            <v>1 03 00000 00 0000 000</v>
          </cell>
          <cell r="I22">
            <v>12009.800000000001</v>
          </cell>
        </row>
        <row r="23">
          <cell r="B23" t="str">
    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C23">
            <v>182</v>
          </cell>
          <cell r="D23" t="str">
            <v>1 03 02231 01 0000 110</v>
          </cell>
          <cell r="I23">
            <v>6263.6</v>
          </cell>
        </row>
        <row r="24">
          <cell r="B24" t="str">
    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    </cell>
          <cell r="C24">
            <v>182</v>
          </cell>
          <cell r="D24" t="str">
            <v>1 03 02241 01 0000 110</v>
          </cell>
          <cell r="I24">
            <v>29.8</v>
          </cell>
        </row>
        <row r="25">
          <cell r="B25" t="str">
    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C25">
            <v>182</v>
          </cell>
          <cell r="D25" t="str">
            <v>1 03 02251 01 0000 110</v>
          </cell>
          <cell r="I25">
            <v>6494.7</v>
          </cell>
        </row>
        <row r="26">
          <cell r="B26" t="str">
    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C26">
            <v>182</v>
          </cell>
          <cell r="D26" t="str">
            <v>1 03 02261 01 0000 110</v>
          </cell>
          <cell r="I26">
            <v>-778.3</v>
          </cell>
        </row>
        <row r="27">
          <cell r="B27" t="str">
            <v>НАЛОГ НА СОВОКУПНЫЙ ДОХОД</v>
          </cell>
          <cell r="C27">
            <v>182</v>
          </cell>
          <cell r="D27" t="str">
            <v>1 05 00000 00 0000 000</v>
          </cell>
          <cell r="I27">
            <v>395.8</v>
          </cell>
        </row>
        <row r="28">
          <cell r="B28" t="str">
            <v>Единый сельскохозяйственный  налог    </v>
          </cell>
          <cell r="C28">
            <v>182</v>
          </cell>
          <cell r="D28" t="str">
            <v>1 05 03000 01 0000 110</v>
          </cell>
          <cell r="I28">
            <v>395.8</v>
          </cell>
        </row>
        <row r="29">
          <cell r="B29" t="str">
            <v>Единый сельскохозяйственный налог (сумма платежа (перерасчеты, недоимка и задолженность по соответствующему платежу, в том числе по отмененному)</v>
          </cell>
          <cell r="C29">
            <v>182</v>
          </cell>
          <cell r="D29" t="str">
            <v>1 05 03010 01 1000 110</v>
          </cell>
          <cell r="I29">
            <v>395.8</v>
          </cell>
        </row>
        <row r="30">
          <cell r="B30" t="str">
            <v>НАЛОГИ НА ИМУЩЕСТВО</v>
          </cell>
          <cell r="C30">
            <v>182</v>
          </cell>
          <cell r="D30" t="str">
            <v>1 06 00000 00 0000 000</v>
          </cell>
          <cell r="I30">
            <v>63038</v>
          </cell>
        </row>
        <row r="31">
          <cell r="B31" t="str">
            <v>Налог на имущество физических лиц</v>
          </cell>
          <cell r="C31">
            <v>182</v>
          </cell>
          <cell r="D31" t="str">
            <v>1 06 0100 00 0000 110</v>
          </cell>
          <cell r="I31">
            <v>20308.2</v>
          </cell>
        </row>
        <row r="32">
          <cell r="B32" t="str">
    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    </cell>
          <cell r="C32">
            <v>182</v>
          </cell>
          <cell r="D32" t="str">
            <v>1 06 01030 13 0000 110</v>
          </cell>
          <cell r="I32">
            <v>20308.2</v>
          </cell>
        </row>
        <row r="33">
          <cell r="B33" t="str">
            <v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v>
          </cell>
          <cell r="C33">
            <v>182</v>
          </cell>
          <cell r="D33" t="str">
            <v>1 06 01030 13 1000 110</v>
          </cell>
          <cell r="I33">
            <v>20308.2</v>
          </cell>
        </row>
        <row r="34">
          <cell r="B34" t="str">
            <v>Земельный налог        </v>
          </cell>
          <cell r="C34">
            <v>182</v>
          </cell>
          <cell r="D34" t="str">
            <v>1 06 06000 00 0000 110</v>
          </cell>
          <cell r="I34">
            <v>42729.8</v>
          </cell>
        </row>
        <row r="35">
          <cell r="B35" t="str">
            <v>Земельный налог с юридических лиц</v>
          </cell>
          <cell r="C35">
            <v>182</v>
          </cell>
          <cell r="D35" t="str">
            <v>1 06 06033 00 0000 110</v>
          </cell>
          <cell r="I35">
            <v>21292.5</v>
          </cell>
        </row>
        <row r="36">
          <cell r="B36" t="str">
            <v>Земельный налог с организаций, обладающих земельным участком, расположенным в границах городских  поселений</v>
          </cell>
          <cell r="C36">
            <v>182</v>
          </cell>
          <cell r="D36" t="str">
            <v>1 06 06033 13 0000 110 </v>
          </cell>
          <cell r="I36">
            <v>21292.5</v>
          </cell>
        </row>
        <row r="37">
          <cell r="B37" t="str">
            <v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v>
          </cell>
          <cell r="C37">
            <v>182</v>
          </cell>
          <cell r="D37" t="str">
            <v>1 06 06033 13 1000 110 </v>
          </cell>
          <cell r="I37">
            <v>21292.5</v>
          </cell>
        </row>
        <row r="38">
          <cell r="B38" t="str">
            <v>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v>
          </cell>
          <cell r="C38">
            <v>182</v>
          </cell>
          <cell r="D38" t="str">
            <v>1 06 06033 13 3000 110 </v>
          </cell>
          <cell r="I38">
            <v>0</v>
          </cell>
        </row>
        <row r="39">
          <cell r="B39" t="str">
            <v>Земельный налог с физических лиц </v>
          </cell>
          <cell r="C39">
            <v>182</v>
          </cell>
          <cell r="D39" t="str">
            <v>1 06 06043 00 0000 110</v>
          </cell>
          <cell r="I39">
            <v>21437.3</v>
          </cell>
        </row>
        <row r="40">
          <cell r="B40" t="str">
            <v>Земельный налог с физических лиц, обладающих земельным участком, расположенным в границах  городских  поселений</v>
          </cell>
          <cell r="C40">
            <v>182</v>
          </cell>
          <cell r="D40" t="str">
            <v>1 06 06043 13 0000 110</v>
          </cell>
          <cell r="I40">
            <v>21437.3</v>
          </cell>
        </row>
        <row r="41">
          <cell r="B41" t="str">
            <v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v>
          </cell>
          <cell r="C41">
            <v>182</v>
          </cell>
          <cell r="D41" t="str">
            <v>1 06 06043 13 1000 110</v>
          </cell>
          <cell r="I41">
            <v>21437.3</v>
          </cell>
        </row>
        <row r="42">
          <cell r="B42" t="str">
            <v>Земельный налог с физических лиц,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v>
          </cell>
          <cell r="C42">
            <v>182</v>
          </cell>
          <cell r="D42" t="str">
            <v>1 06 06043 13 3000 110</v>
          </cell>
          <cell r="I42">
            <v>0</v>
          </cell>
        </row>
        <row r="43">
          <cell r="B43" t="str">
            <v>ГОСУДАРТВЕННАЯ ПОШЛИНА</v>
          </cell>
          <cell r="C43">
            <v>717</v>
          </cell>
          <cell r="D43" t="str">
            <v>1 08 00000 00 0000 000  </v>
          </cell>
          <cell r="I43">
            <v>40</v>
          </cell>
        </row>
        <row r="44">
          <cell r="B44" t="str">
            <v>Государственная пошлина на совершение нотариальных действий     (за исключение действий, совершаемых консульскими учреждениями РФ)  </v>
          </cell>
          <cell r="C44">
            <v>717</v>
          </cell>
          <cell r="D44" t="str">
            <v>1 08 04000 01 0000 110</v>
          </cell>
          <cell r="I44">
            <v>40</v>
          </cell>
        </row>
        <row r="45">
          <cell r="B45" t="str">
            <v>Государственная пошлина за совершение нотариальных действий должностными лицами органов местного самоуправления, уполномоченными  в соответствии законодательными актами Российской Федерации на совершение нотариальных действий </v>
          </cell>
          <cell r="C45">
            <v>717</v>
          </cell>
          <cell r="D45" t="str">
            <v>1 08 04020 01  1000 110</v>
          </cell>
          <cell r="I45">
            <v>40</v>
          </cell>
        </row>
        <row r="46">
          <cell r="B46" t="str">
            <v>НЕНАЛОГОВЫЕ ДОХОДЫ</v>
          </cell>
          <cell r="I46">
            <v>23916</v>
          </cell>
        </row>
        <row r="47">
          <cell r="B47" t="str">
            <v>ДОХОДЫ ОТ ИСПОЛЬЗОВАНИЯ ИМУЩЕСТВА, НАХОДЯЩЕГОСЯ В ГОСУДАРСТВЕННОЙ И МУНИЦИПАЛЬНОЙ СОБСТВЕННОСТИ</v>
          </cell>
          <cell r="D47" t="str">
            <v>1 11 00000 00 0000 000</v>
          </cell>
          <cell r="I47">
            <v>12016</v>
          </cell>
        </row>
        <row r="48">
          <cell r="B48" t="str">
    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</v>
          </cell>
          <cell r="D48" t="str">
            <v>1 11 00000 00 0000 120</v>
          </cell>
          <cell r="I48">
            <v>12016</v>
          </cell>
        </row>
        <row r="49">
          <cell r="B49" t="str">
            <v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  <cell r="C49">
            <v>717</v>
          </cell>
          <cell r="D49" t="str">
            <v>1 11 05025 13 0000 120</v>
          </cell>
          <cell r="I49">
            <v>3000</v>
          </cell>
        </row>
        <row r="50">
          <cell r="B50" t="str">
            <v>Прочие поступления от использования имущества, находящегося  в собственности городских поселений (за исключением имущества муниципальных бюджетных, автономных учреждений, а так же имущество муниципальных унитарных предприятий, в том числе казенных)</v>
          </cell>
          <cell r="C50">
            <v>717</v>
          </cell>
          <cell r="D50" t="str">
            <v>1 11 09045 13 0000 120</v>
          </cell>
          <cell r="I50">
            <v>2000</v>
          </cell>
        </row>
        <row r="51">
          <cell r="B51" t="str">
            <v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</v>
          </cell>
          <cell r="C51">
            <v>813</v>
          </cell>
          <cell r="D51" t="str">
            <v>1 11 05013 13 0000 120</v>
          </cell>
          <cell r="I51">
            <v>7000</v>
          </cell>
        </row>
        <row r="52">
          <cell r="B52" t="str">
    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v>
          </cell>
          <cell r="C52">
            <v>813</v>
          </cell>
          <cell r="D52" t="str">
            <v>1 11 05013 13 0016 120</v>
          </cell>
          <cell r="I52">
            <v>3500</v>
          </cell>
        </row>
        <row r="53">
          <cell r="B53" t="str">
    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v>
          </cell>
          <cell r="C53">
            <v>813</v>
          </cell>
          <cell r="D53" t="str">
            <v>1 11 05013 13 0019 120</v>
          </cell>
          <cell r="I53">
            <v>3500</v>
          </cell>
        </row>
        <row r="54">
          <cell r="B54" t="str">
    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</v>
          </cell>
          <cell r="C54">
            <v>813</v>
          </cell>
          <cell r="D54" t="str">
            <v>1 11 05313 13 0000 120</v>
          </cell>
          <cell r="I54">
            <v>5</v>
          </cell>
        </row>
        <row r="55">
          <cell r="B55" t="str">
            <v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</v>
          </cell>
          <cell r="C55">
            <v>717</v>
          </cell>
          <cell r="D55" t="str">
            <v>1 11 05314 13 0000 120</v>
          </cell>
          <cell r="I55">
            <v>11</v>
          </cell>
        </row>
        <row r="56">
          <cell r="B56" t="str">
            <v>ДОХОДЫ ОТ ОКАЗАНИЯ ПЛАТНЫХ УЛУГ (РАБОТ) И КОМПЕНАЦИИ ЗАТРАТ ГОСУДАРТВА </v>
          </cell>
          <cell r="C56">
            <v>717</v>
          </cell>
          <cell r="D56" t="str">
            <v>1 13 00000 00 0000 000</v>
          </cell>
          <cell r="I56">
            <v>500</v>
          </cell>
        </row>
        <row r="57">
          <cell r="B57" t="str">
            <v>Прочие доходы от оказания платных услуг (работ) получателями средств бюджетов городских поселений </v>
          </cell>
          <cell r="C57">
            <v>717</v>
          </cell>
          <cell r="D57" t="str">
            <v>1 13 01995  13 0000 130</v>
          </cell>
          <cell r="I57">
            <v>500</v>
          </cell>
        </row>
        <row r="58">
          <cell r="B58" t="str">
            <v>ДОХОДЫ ОТ ПРОДАЖИ МАТЕРИАЛЬНЫХ И НЕМАТЕРИАЛЬНЫХ АКТИВОВ  </v>
          </cell>
          <cell r="C58">
            <v>717</v>
          </cell>
          <cell r="D58" t="str">
            <v>1 14 00000 00 0000 000</v>
          </cell>
          <cell r="I58">
            <v>8500</v>
          </cell>
        </row>
        <row r="59">
          <cell r="B59" t="str">
    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v>
          </cell>
          <cell r="C59">
            <v>717</v>
          </cell>
          <cell r="D59" t="str">
            <v>1 14 02053 13 0000 410</v>
          </cell>
          <cell r="I59">
            <v>500</v>
          </cell>
        </row>
        <row r="60">
          <cell r="B60" t="str">
            <v>Доходы от продажи земельных участков, государственная собственность, находящихся в собственности городских поселений (за исключением земельных участков муниципальных бюджетных и автономных учреждений)</v>
          </cell>
          <cell r="C60">
            <v>717</v>
          </cell>
          <cell r="D60" t="str">
            <v>1 14 06025 13 0000 430</v>
          </cell>
          <cell r="I60">
            <v>8000</v>
          </cell>
        </row>
        <row r="62">
          <cell r="B62" t="str">
            <v>Доходы от продажи земельных участков, государственная собственность,  на которые не разграничена  и которые расположены в границах городских поселений </v>
          </cell>
          <cell r="C62">
            <v>813</v>
          </cell>
          <cell r="D62" t="str">
            <v>1 14 06013 13 0000 430</v>
          </cell>
          <cell r="I62">
            <v>800</v>
          </cell>
        </row>
        <row r="63">
          <cell r="B63" t="str">
    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v>
          </cell>
          <cell r="C63">
            <v>813</v>
          </cell>
          <cell r="D63" t="str">
            <v>1 14 06313 13 0000 430</v>
          </cell>
          <cell r="I63">
            <v>2000</v>
          </cell>
        </row>
        <row r="64">
          <cell r="B64" t="str">
            <v>Штрафы, санкции, возмещение ущерба</v>
          </cell>
          <cell r="C64">
            <v>717</v>
          </cell>
          <cell r="D64" t="str">
            <v>1 16 00000 00 0000 000</v>
          </cell>
          <cell r="I64">
            <v>0</v>
          </cell>
        </row>
        <row r="65">
          <cell r="B65" t="str">
            <v>Административные штрафы, установленные Главой 7 Кодекса РФ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контроля.</v>
          </cell>
          <cell r="C65">
            <v>717</v>
          </cell>
          <cell r="D65" t="str">
            <v>1 16 01074 01 0000 140</v>
          </cell>
          <cell r="I65">
            <v>0</v>
          </cell>
        </row>
        <row r="66">
          <cell r="B66" t="str">
    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учреждением)гор. посел.</v>
          </cell>
          <cell r="C66">
            <v>717</v>
          </cell>
          <cell r="D66" t="str">
            <v>1 16 07090 13 0000 140</v>
          </cell>
          <cell r="I66">
            <v>0</v>
          </cell>
        </row>
        <row r="69">
          <cell r="B69" t="str">
            <v>Прочие неналоговые доходы бюджетов городских поселений</v>
          </cell>
          <cell r="C69">
            <v>717</v>
          </cell>
          <cell r="D69" t="str">
            <v>1 17 05050 13 0000 180</v>
          </cell>
          <cell r="I69">
            <v>100</v>
          </cell>
        </row>
        <row r="70">
          <cell r="B70" t="str">
            <v>БЕЗВОЗМЕЗДНЫЕ ПОСТУПЛЕНИЯ</v>
          </cell>
          <cell r="C70">
            <v>717</v>
          </cell>
          <cell r="D70" t="str">
            <v>2 00 00000 00 0000 000</v>
          </cell>
          <cell r="I70">
            <v>197090.2</v>
          </cell>
        </row>
        <row r="71">
          <cell r="B71" t="str">
            <v>Безвозмездные поступления от других бюджетов бюджетной системы Российской Федерации</v>
          </cell>
          <cell r="C71">
            <v>717</v>
          </cell>
          <cell r="D71" t="str">
            <v>2 02 00000 00 0000 000</v>
          </cell>
          <cell r="I71">
            <v>197090.2</v>
          </cell>
        </row>
        <row r="72">
          <cell r="B72" t="str">
            <v> Дотации бюджетам бюджетной системы Российской Федерации</v>
          </cell>
          <cell r="C72">
            <v>717</v>
          </cell>
          <cell r="D72" t="str">
            <v>2 02 10000 00 0000 150</v>
          </cell>
          <cell r="I72">
            <v>10854</v>
          </cell>
        </row>
        <row r="73">
          <cell r="B73" t="str">
            <v>Дотации бюджетам городских поселений на выравнивание бюджетной обеспеченности из бюджетов муниципальных районов</v>
          </cell>
          <cell r="C73">
            <v>717</v>
          </cell>
          <cell r="D73" t="str">
            <v>2 02 16001 13 0000 150</v>
          </cell>
          <cell r="I73">
            <v>10854</v>
          </cell>
        </row>
        <row r="75">
          <cell r="B75" t="str">
            <v> Субсидии бюджетам городских поселений на строительство и реконструкцию (модернизацию) объектов питьевого водоснабжения</v>
          </cell>
          <cell r="C75">
            <v>717</v>
          </cell>
          <cell r="D75" t="str">
            <v>2 02 25243 13 0000 150</v>
          </cell>
          <cell r="I75">
            <v>82086.1</v>
          </cell>
        </row>
        <row r="76">
          <cell r="B76" t="str">
            <v> Субсидии бюджетам городских поселений на реализацию программ формирования современной городской среды</v>
          </cell>
          <cell r="C76">
            <v>717</v>
          </cell>
          <cell r="D76" t="str">
            <v>2 02 25555 13 0000 150</v>
          </cell>
          <cell r="I76">
            <v>0</v>
          </cell>
        </row>
        <row r="77">
          <cell r="B77" t="str">
            <v> Прочие субсидии бюджетам городских поселений</v>
          </cell>
          <cell r="C77">
            <v>717</v>
          </cell>
          <cell r="D77" t="str">
            <v>2 02 29999 13 0000 150</v>
          </cell>
          <cell r="I77">
            <v>100830.8</v>
          </cell>
        </row>
        <row r="78">
          <cell r="B78" t="str">
            <v>Субвенции бюджетам бюджетной системы Российской Федерации</v>
          </cell>
          <cell r="C78">
            <v>717</v>
          </cell>
          <cell r="D78" t="str">
            <v>2 02 30000 00 0000 150</v>
          </cell>
          <cell r="I78">
            <v>3319.3</v>
          </cell>
        </row>
        <row r="80">
          <cell r="B80" t="str">
    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    </cell>
          <cell r="C80">
            <v>717</v>
          </cell>
          <cell r="D80" t="str">
            <v>2 02 35118 13 0000 150</v>
          </cell>
          <cell r="I80">
            <v>3197.8</v>
          </cell>
        </row>
        <row r="83">
          <cell r="B83" t="str">
            <v>Итого</v>
          </cell>
          <cell r="I83">
            <v>323888.10000000003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0"/>
  <sheetViews>
    <sheetView tabSelected="1" view="pageBreakPreview" zoomScale="60" zoomScaleNormal="89" zoomScalePageLayoutView="0" workbookViewId="0" topLeftCell="B1">
      <selection activeCell="B1" sqref="B1"/>
    </sheetView>
  </sheetViews>
  <sheetFormatPr defaultColWidth="9.00390625" defaultRowHeight="12.75"/>
  <cols>
    <col min="1" max="1" width="13.875" style="47" hidden="1" customWidth="1"/>
    <col min="2" max="2" width="50.125" style="56" customWidth="1"/>
    <col min="3" max="3" width="10.125" style="56" customWidth="1"/>
    <col min="4" max="4" width="5.00390625" style="56" customWidth="1"/>
    <col min="5" max="5" width="2.125" style="56" customWidth="1"/>
    <col min="6" max="6" width="9.75390625" style="56" customWidth="1"/>
    <col min="7" max="7" width="7.125" style="56" customWidth="1"/>
    <col min="8" max="8" width="2.875" style="56" customWidth="1"/>
    <col min="9" max="9" width="21.375" style="56" customWidth="1"/>
    <col min="10" max="10" width="15.625" style="47" hidden="1" customWidth="1"/>
    <col min="11" max="11" width="16.25390625" style="47" hidden="1" customWidth="1"/>
    <col min="12" max="12" width="13.75390625" style="47" customWidth="1"/>
    <col min="13" max="13" width="11.75390625" style="47" customWidth="1"/>
    <col min="14" max="14" width="12.25390625" style="47" customWidth="1"/>
    <col min="15" max="16384" width="9.125" style="47" customWidth="1"/>
  </cols>
  <sheetData>
    <row r="1" spans="3:9" ht="92.25" customHeight="1">
      <c r="C1" s="179" t="s">
        <v>481</v>
      </c>
      <c r="D1" s="179"/>
      <c r="E1" s="179"/>
      <c r="F1" s="179"/>
      <c r="G1" s="179"/>
      <c r="H1" s="179"/>
      <c r="I1" s="179"/>
    </row>
    <row r="2" spans="2:11" ht="18" customHeight="1">
      <c r="B2" s="180" t="s">
        <v>467</v>
      </c>
      <c r="C2" s="180"/>
      <c r="D2" s="180"/>
      <c r="E2" s="180"/>
      <c r="F2" s="180"/>
      <c r="G2" s="180"/>
      <c r="H2" s="180"/>
      <c r="I2" s="180"/>
      <c r="K2" s="47" t="s">
        <v>104</v>
      </c>
    </row>
    <row r="3" spans="3:9" ht="15" customHeight="1">
      <c r="C3" s="141"/>
      <c r="D3" s="141"/>
      <c r="E3" s="141"/>
      <c r="F3" s="141"/>
      <c r="G3" s="141"/>
      <c r="H3" s="141"/>
      <c r="I3" s="142" t="s">
        <v>149</v>
      </c>
    </row>
    <row r="4" spans="2:11" s="50" customFormat="1" ht="30.75" customHeight="1">
      <c r="B4" s="42" t="s">
        <v>5</v>
      </c>
      <c r="C4" s="42"/>
      <c r="D4" s="181" t="s">
        <v>150</v>
      </c>
      <c r="E4" s="181"/>
      <c r="F4" s="181"/>
      <c r="G4" s="181"/>
      <c r="H4" s="181"/>
      <c r="I4" s="43" t="s">
        <v>468</v>
      </c>
      <c r="J4" s="43" t="s">
        <v>289</v>
      </c>
      <c r="K4" s="43" t="s">
        <v>290</v>
      </c>
    </row>
    <row r="5" spans="2:12" ht="15">
      <c r="B5" s="143" t="s">
        <v>151</v>
      </c>
      <c r="C5" s="144"/>
      <c r="D5" s="181" t="s">
        <v>152</v>
      </c>
      <c r="E5" s="181"/>
      <c r="F5" s="181"/>
      <c r="G5" s="181"/>
      <c r="H5" s="181"/>
      <c r="I5" s="61">
        <f>I6+I48</f>
        <v>131068.1</v>
      </c>
      <c r="J5" s="35">
        <v>128225.54</v>
      </c>
      <c r="K5" s="35">
        <v>130081.87</v>
      </c>
      <c r="L5" s="46"/>
    </row>
    <row r="6" spans="2:12" s="50" customFormat="1" ht="14.25">
      <c r="B6" s="143" t="s">
        <v>153</v>
      </c>
      <c r="C6" s="145"/>
      <c r="D6" s="181" t="s">
        <v>152</v>
      </c>
      <c r="E6" s="181"/>
      <c r="F6" s="181"/>
      <c r="G6" s="181"/>
      <c r="H6" s="181"/>
      <c r="I6" s="61">
        <f>I9+I12+I15+I18+I19+I20+I21+I22+I27+I31+I35+I39+I43+I46</f>
        <v>104463.6</v>
      </c>
      <c r="J6" s="61">
        <v>113859.54</v>
      </c>
      <c r="K6" s="61">
        <v>115715.87</v>
      </c>
      <c r="L6" s="49"/>
    </row>
    <row r="7" spans="2:11" ht="15">
      <c r="B7" s="18" t="s">
        <v>154</v>
      </c>
      <c r="C7" s="146">
        <v>182</v>
      </c>
      <c r="D7" s="182" t="s">
        <v>155</v>
      </c>
      <c r="E7" s="182"/>
      <c r="F7" s="182"/>
      <c r="G7" s="182"/>
      <c r="H7" s="182"/>
      <c r="I7" s="35">
        <f>I8</f>
        <v>27398.3</v>
      </c>
      <c r="J7" s="35">
        <v>29626</v>
      </c>
      <c r="K7" s="35">
        <v>29626</v>
      </c>
    </row>
    <row r="8" spans="2:11" ht="15">
      <c r="B8" s="18" t="s">
        <v>156</v>
      </c>
      <c r="C8" s="146">
        <v>182</v>
      </c>
      <c r="D8" s="182" t="s">
        <v>157</v>
      </c>
      <c r="E8" s="182"/>
      <c r="F8" s="182"/>
      <c r="G8" s="182"/>
      <c r="H8" s="182"/>
      <c r="I8" s="35">
        <f>I9+I12+I15+I18+I19+I20+I21</f>
        <v>27398.3</v>
      </c>
      <c r="J8" s="35">
        <v>29626</v>
      </c>
      <c r="K8" s="35">
        <v>29626</v>
      </c>
    </row>
    <row r="9" spans="2:11" s="51" customFormat="1" ht="75">
      <c r="B9" s="86" t="s">
        <v>358</v>
      </c>
      <c r="C9" s="57">
        <v>182</v>
      </c>
      <c r="D9" s="183" t="s">
        <v>158</v>
      </c>
      <c r="E9" s="183"/>
      <c r="F9" s="183"/>
      <c r="G9" s="183"/>
      <c r="H9" s="183"/>
      <c r="I9" s="88">
        <v>23723.3</v>
      </c>
      <c r="J9" s="88">
        <v>27550</v>
      </c>
      <c r="K9" s="88">
        <v>27550</v>
      </c>
    </row>
    <row r="10" spans="2:11" ht="142.5" customHeight="1">
      <c r="B10" s="147" t="s">
        <v>159</v>
      </c>
      <c r="C10" s="146">
        <v>182</v>
      </c>
      <c r="D10" s="182" t="s">
        <v>160</v>
      </c>
      <c r="E10" s="182"/>
      <c r="F10" s="182"/>
      <c r="G10" s="182"/>
      <c r="H10" s="182"/>
      <c r="I10" s="35">
        <v>23723.3</v>
      </c>
      <c r="J10" s="35">
        <v>24100</v>
      </c>
      <c r="K10" s="35">
        <v>24100</v>
      </c>
    </row>
    <row r="11" spans="2:11" ht="122.25" customHeight="1">
      <c r="B11" s="147" t="s">
        <v>161</v>
      </c>
      <c r="C11" s="146">
        <v>182</v>
      </c>
      <c r="D11" s="182" t="s">
        <v>162</v>
      </c>
      <c r="E11" s="182"/>
      <c r="F11" s="182"/>
      <c r="G11" s="182"/>
      <c r="H11" s="182"/>
      <c r="I11" s="35">
        <v>0</v>
      </c>
      <c r="J11" s="35">
        <v>3450</v>
      </c>
      <c r="K11" s="35">
        <v>3450</v>
      </c>
    </row>
    <row r="12" spans="2:11" s="51" customFormat="1" ht="120">
      <c r="B12" s="86" t="s">
        <v>357</v>
      </c>
      <c r="C12" s="57">
        <v>182</v>
      </c>
      <c r="D12" s="183" t="s">
        <v>163</v>
      </c>
      <c r="E12" s="183"/>
      <c r="F12" s="183"/>
      <c r="G12" s="183"/>
      <c r="H12" s="183"/>
      <c r="I12" s="88">
        <f>I13+I14</f>
        <v>153.5</v>
      </c>
      <c r="J12" s="88">
        <v>47</v>
      </c>
      <c r="K12" s="88">
        <v>47</v>
      </c>
    </row>
    <row r="13" spans="2:11" ht="69.75" customHeight="1">
      <c r="B13" s="147" t="s">
        <v>164</v>
      </c>
      <c r="C13" s="146">
        <v>182</v>
      </c>
      <c r="D13" s="182" t="s">
        <v>333</v>
      </c>
      <c r="E13" s="182"/>
      <c r="F13" s="182"/>
      <c r="G13" s="182"/>
      <c r="H13" s="182"/>
      <c r="I13" s="35">
        <v>153.5</v>
      </c>
      <c r="J13" s="35">
        <v>47</v>
      </c>
      <c r="K13" s="35">
        <v>47</v>
      </c>
    </row>
    <row r="14" spans="2:11" ht="165" customHeight="1">
      <c r="B14" s="147" t="s">
        <v>346</v>
      </c>
      <c r="C14" s="146">
        <v>182</v>
      </c>
      <c r="D14" s="184" t="s">
        <v>347</v>
      </c>
      <c r="E14" s="185"/>
      <c r="F14" s="185"/>
      <c r="G14" s="185"/>
      <c r="H14" s="186"/>
      <c r="I14" s="35">
        <v>0</v>
      </c>
      <c r="J14" s="35">
        <v>0</v>
      </c>
      <c r="K14" s="35">
        <v>0</v>
      </c>
    </row>
    <row r="15" spans="2:11" s="51" customFormat="1" ht="75" customHeight="1">
      <c r="B15" s="86" t="s">
        <v>165</v>
      </c>
      <c r="C15" s="57">
        <v>182</v>
      </c>
      <c r="D15" s="183" t="s">
        <v>166</v>
      </c>
      <c r="E15" s="183"/>
      <c r="F15" s="183"/>
      <c r="G15" s="183"/>
      <c r="H15" s="183"/>
      <c r="I15" s="88">
        <f>SUM(I16:I17)</f>
        <v>1945.9</v>
      </c>
      <c r="J15" s="88">
        <v>1421.5</v>
      </c>
      <c r="K15" s="88">
        <v>1421.5</v>
      </c>
    </row>
    <row r="16" spans="2:11" ht="91.5" customHeight="1">
      <c r="B16" s="147" t="s">
        <v>167</v>
      </c>
      <c r="C16" s="146">
        <v>182</v>
      </c>
      <c r="D16" s="182" t="s">
        <v>168</v>
      </c>
      <c r="E16" s="182"/>
      <c r="F16" s="182"/>
      <c r="G16" s="182"/>
      <c r="H16" s="182"/>
      <c r="I16" s="35">
        <v>1945.9</v>
      </c>
      <c r="J16" s="35">
        <v>1227</v>
      </c>
      <c r="K16" s="35">
        <v>1227</v>
      </c>
    </row>
    <row r="17" spans="2:11" ht="90">
      <c r="B17" s="147" t="s">
        <v>169</v>
      </c>
      <c r="C17" s="146">
        <v>182</v>
      </c>
      <c r="D17" s="182" t="s">
        <v>170</v>
      </c>
      <c r="E17" s="182"/>
      <c r="F17" s="182"/>
      <c r="G17" s="182"/>
      <c r="H17" s="182"/>
      <c r="I17" s="35">
        <v>0</v>
      </c>
      <c r="J17" s="35">
        <v>194.5</v>
      </c>
      <c r="K17" s="35">
        <v>194.5</v>
      </c>
    </row>
    <row r="18" spans="2:11" s="51" customFormat="1" ht="105">
      <c r="B18" s="86" t="s">
        <v>171</v>
      </c>
      <c r="C18" s="57">
        <v>182</v>
      </c>
      <c r="D18" s="183" t="s">
        <v>172</v>
      </c>
      <c r="E18" s="183"/>
      <c r="F18" s="183"/>
      <c r="G18" s="183"/>
      <c r="H18" s="183"/>
      <c r="I18" s="88">
        <v>216.1</v>
      </c>
      <c r="J18" s="88">
        <v>7.5</v>
      </c>
      <c r="K18" s="88">
        <v>7.5</v>
      </c>
    </row>
    <row r="19" spans="2:11" s="51" customFormat="1" ht="165">
      <c r="B19" s="23" t="s">
        <v>173</v>
      </c>
      <c r="C19" s="57">
        <v>182</v>
      </c>
      <c r="D19" s="183" t="s">
        <v>334</v>
      </c>
      <c r="E19" s="183"/>
      <c r="F19" s="183"/>
      <c r="G19" s="183"/>
      <c r="H19" s="183"/>
      <c r="I19" s="88">
        <v>342</v>
      </c>
      <c r="J19" s="88">
        <v>600</v>
      </c>
      <c r="K19" s="88">
        <v>600</v>
      </c>
    </row>
    <row r="20" spans="2:11" s="51" customFormat="1" ht="105">
      <c r="B20" s="23" t="s">
        <v>471</v>
      </c>
      <c r="C20" s="57">
        <v>182</v>
      </c>
      <c r="D20" s="183" t="s">
        <v>472</v>
      </c>
      <c r="E20" s="183"/>
      <c r="F20" s="183"/>
      <c r="G20" s="183"/>
      <c r="H20" s="183"/>
      <c r="I20" s="88">
        <v>518.6</v>
      </c>
      <c r="J20" s="88"/>
      <c r="K20" s="88"/>
    </row>
    <row r="21" spans="2:11" s="51" customFormat="1" ht="145.5" customHeight="1">
      <c r="B21" s="23" t="s">
        <v>473</v>
      </c>
      <c r="C21" s="57">
        <v>182</v>
      </c>
      <c r="D21" s="187" t="s">
        <v>474</v>
      </c>
      <c r="E21" s="188"/>
      <c r="F21" s="188"/>
      <c r="G21" s="188"/>
      <c r="H21" s="189"/>
      <c r="I21" s="88">
        <v>498.9</v>
      </c>
      <c r="J21" s="88"/>
      <c r="K21" s="88"/>
    </row>
    <row r="22" spans="2:11" s="51" customFormat="1" ht="45">
      <c r="B22" s="86" t="s">
        <v>174</v>
      </c>
      <c r="C22" s="57">
        <v>182</v>
      </c>
      <c r="D22" s="183" t="s">
        <v>175</v>
      </c>
      <c r="E22" s="183"/>
      <c r="F22" s="183"/>
      <c r="G22" s="183"/>
      <c r="H22" s="183"/>
      <c r="I22" s="88">
        <f>SUM(I23:I26)</f>
        <v>13591.5</v>
      </c>
      <c r="J22" s="88">
        <v>10806.56</v>
      </c>
      <c r="K22" s="88">
        <v>11411.07</v>
      </c>
    </row>
    <row r="23" spans="2:11" ht="90">
      <c r="B23" s="14" t="s">
        <v>176</v>
      </c>
      <c r="C23" s="146">
        <v>182</v>
      </c>
      <c r="D23" s="190" t="s">
        <v>177</v>
      </c>
      <c r="E23" s="190"/>
      <c r="F23" s="190"/>
      <c r="G23" s="190"/>
      <c r="H23" s="190"/>
      <c r="I23" s="35">
        <v>7088.5</v>
      </c>
      <c r="J23" s="35">
        <v>5155.62</v>
      </c>
      <c r="K23" s="35">
        <v>5457.4</v>
      </c>
    </row>
    <row r="24" spans="2:11" ht="105">
      <c r="B24" s="14" t="s">
        <v>178</v>
      </c>
      <c r="C24" s="146">
        <v>182</v>
      </c>
      <c r="D24" s="190" t="s">
        <v>179</v>
      </c>
      <c r="E24" s="190"/>
      <c r="F24" s="190"/>
      <c r="G24" s="190"/>
      <c r="H24" s="190"/>
      <c r="I24" s="35">
        <v>33.8</v>
      </c>
      <c r="J24" s="35">
        <v>35.22</v>
      </c>
      <c r="K24" s="35">
        <v>36.31</v>
      </c>
    </row>
    <row r="25" spans="2:11" ht="90">
      <c r="B25" s="14" t="s">
        <v>180</v>
      </c>
      <c r="C25" s="146">
        <v>182</v>
      </c>
      <c r="D25" s="190" t="s">
        <v>181</v>
      </c>
      <c r="E25" s="190"/>
      <c r="F25" s="190"/>
      <c r="G25" s="190"/>
      <c r="H25" s="190"/>
      <c r="I25" s="35">
        <v>7350</v>
      </c>
      <c r="J25" s="35">
        <v>6290.91</v>
      </c>
      <c r="K25" s="35">
        <v>6589.4</v>
      </c>
    </row>
    <row r="26" spans="2:11" ht="90">
      <c r="B26" s="14" t="s">
        <v>182</v>
      </c>
      <c r="C26" s="146">
        <v>182</v>
      </c>
      <c r="D26" s="190" t="s">
        <v>183</v>
      </c>
      <c r="E26" s="190"/>
      <c r="F26" s="190"/>
      <c r="G26" s="190"/>
      <c r="H26" s="190"/>
      <c r="I26" s="35">
        <v>-880.8</v>
      </c>
      <c r="J26" s="35">
        <v>-675.19</v>
      </c>
      <c r="K26" s="35">
        <v>-672.04</v>
      </c>
    </row>
    <row r="27" spans="2:11" s="51" customFormat="1" ht="15">
      <c r="B27" s="86" t="s">
        <v>184</v>
      </c>
      <c r="C27" s="57">
        <v>182</v>
      </c>
      <c r="D27" s="191" t="s">
        <v>185</v>
      </c>
      <c r="E27" s="191"/>
      <c r="F27" s="191"/>
      <c r="G27" s="191"/>
      <c r="H27" s="191"/>
      <c r="I27" s="88">
        <f>I28</f>
        <v>395.8</v>
      </c>
      <c r="J27" s="88">
        <v>135.98</v>
      </c>
      <c r="K27" s="88">
        <v>135.2</v>
      </c>
    </row>
    <row r="28" spans="2:11" ht="15">
      <c r="B28" s="14" t="s">
        <v>186</v>
      </c>
      <c r="C28" s="146">
        <v>182</v>
      </c>
      <c r="D28" s="190" t="s">
        <v>187</v>
      </c>
      <c r="E28" s="190"/>
      <c r="F28" s="190"/>
      <c r="G28" s="190"/>
      <c r="H28" s="190"/>
      <c r="I28" s="35">
        <f>I29</f>
        <v>395.8</v>
      </c>
      <c r="J28" s="35">
        <v>135.98</v>
      </c>
      <c r="K28" s="35">
        <v>135.2</v>
      </c>
    </row>
    <row r="29" spans="2:11" ht="60">
      <c r="B29" s="147" t="s">
        <v>188</v>
      </c>
      <c r="C29" s="146">
        <v>182</v>
      </c>
      <c r="D29" s="190" t="s">
        <v>189</v>
      </c>
      <c r="E29" s="190"/>
      <c r="F29" s="190"/>
      <c r="G29" s="190"/>
      <c r="H29" s="190"/>
      <c r="I29" s="35">
        <v>395.8</v>
      </c>
      <c r="J29" s="35">
        <v>135.98</v>
      </c>
      <c r="K29" s="35">
        <v>135.2</v>
      </c>
    </row>
    <row r="30" spans="2:11" ht="15">
      <c r="B30" s="14" t="s">
        <v>190</v>
      </c>
      <c r="C30" s="146">
        <v>182</v>
      </c>
      <c r="D30" s="190" t="s">
        <v>191</v>
      </c>
      <c r="E30" s="190"/>
      <c r="F30" s="190"/>
      <c r="G30" s="190"/>
      <c r="H30" s="190"/>
      <c r="I30" s="35">
        <f>I31+I34</f>
        <v>63038</v>
      </c>
      <c r="J30" s="35">
        <v>73251</v>
      </c>
      <c r="K30" s="35">
        <v>74503.6</v>
      </c>
    </row>
    <row r="31" spans="2:11" s="51" customFormat="1" ht="15">
      <c r="B31" s="148" t="s">
        <v>192</v>
      </c>
      <c r="C31" s="57">
        <v>182</v>
      </c>
      <c r="D31" s="191" t="s">
        <v>193</v>
      </c>
      <c r="E31" s="191"/>
      <c r="F31" s="191"/>
      <c r="G31" s="191"/>
      <c r="H31" s="191"/>
      <c r="I31" s="88">
        <f>I32</f>
        <v>20308.2</v>
      </c>
      <c r="J31" s="88">
        <v>10621</v>
      </c>
      <c r="K31" s="88">
        <v>10621</v>
      </c>
    </row>
    <row r="32" spans="2:11" ht="46.5" customHeight="1">
      <c r="B32" s="14" t="s">
        <v>194</v>
      </c>
      <c r="C32" s="146">
        <v>182</v>
      </c>
      <c r="D32" s="190" t="s">
        <v>195</v>
      </c>
      <c r="E32" s="190"/>
      <c r="F32" s="190"/>
      <c r="G32" s="190"/>
      <c r="H32" s="190"/>
      <c r="I32" s="35">
        <f>I33</f>
        <v>20308.2</v>
      </c>
      <c r="J32" s="35">
        <v>10621</v>
      </c>
      <c r="K32" s="35">
        <v>10621</v>
      </c>
    </row>
    <row r="33" spans="2:11" ht="90">
      <c r="B33" s="147" t="s">
        <v>196</v>
      </c>
      <c r="C33" s="146">
        <v>182</v>
      </c>
      <c r="D33" s="190" t="s">
        <v>197</v>
      </c>
      <c r="E33" s="190"/>
      <c r="F33" s="190"/>
      <c r="G33" s="190"/>
      <c r="H33" s="190"/>
      <c r="I33" s="35">
        <v>20308.2</v>
      </c>
      <c r="J33" s="35">
        <v>10621</v>
      </c>
      <c r="K33" s="35">
        <v>10621</v>
      </c>
    </row>
    <row r="34" spans="2:11" s="51" customFormat="1" ht="15">
      <c r="B34" s="86" t="s">
        <v>198</v>
      </c>
      <c r="C34" s="57">
        <v>182</v>
      </c>
      <c r="D34" s="191" t="s">
        <v>199</v>
      </c>
      <c r="E34" s="191"/>
      <c r="F34" s="191"/>
      <c r="G34" s="191"/>
      <c r="H34" s="191"/>
      <c r="I34" s="88">
        <f>I35+I39</f>
        <v>42729.8</v>
      </c>
      <c r="J34" s="88">
        <v>62630</v>
      </c>
      <c r="K34" s="88">
        <v>63882.6</v>
      </c>
    </row>
    <row r="35" spans="2:11" ht="15">
      <c r="B35" s="14" t="s">
        <v>200</v>
      </c>
      <c r="C35" s="146">
        <v>182</v>
      </c>
      <c r="D35" s="190" t="s">
        <v>201</v>
      </c>
      <c r="E35" s="190"/>
      <c r="F35" s="190"/>
      <c r="G35" s="190"/>
      <c r="H35" s="190"/>
      <c r="I35" s="35">
        <f>I36</f>
        <v>21292.5</v>
      </c>
      <c r="J35" s="35">
        <v>41153.02</v>
      </c>
      <c r="K35" s="35">
        <v>41976.08</v>
      </c>
    </row>
    <row r="36" spans="2:11" ht="45">
      <c r="B36" s="14" t="s">
        <v>202</v>
      </c>
      <c r="C36" s="146">
        <v>182</v>
      </c>
      <c r="D36" s="190" t="s">
        <v>203</v>
      </c>
      <c r="E36" s="190"/>
      <c r="F36" s="190"/>
      <c r="G36" s="190"/>
      <c r="H36" s="190"/>
      <c r="I36" s="35">
        <f>SUM(I37:I38)</f>
        <v>21292.5</v>
      </c>
      <c r="J36" s="35">
        <v>41153.02</v>
      </c>
      <c r="K36" s="35">
        <v>41976.08</v>
      </c>
    </row>
    <row r="37" spans="2:11" ht="75">
      <c r="B37" s="147" t="s">
        <v>204</v>
      </c>
      <c r="C37" s="146">
        <v>182</v>
      </c>
      <c r="D37" s="190" t="s">
        <v>205</v>
      </c>
      <c r="E37" s="190"/>
      <c r="F37" s="190"/>
      <c r="G37" s="190"/>
      <c r="H37" s="190"/>
      <c r="I37" s="35">
        <v>21292.5</v>
      </c>
      <c r="J37" s="35">
        <v>40491</v>
      </c>
      <c r="K37" s="35">
        <v>41300</v>
      </c>
    </row>
    <row r="38" spans="2:11" ht="75">
      <c r="B38" s="147" t="s">
        <v>206</v>
      </c>
      <c r="C38" s="146">
        <v>182</v>
      </c>
      <c r="D38" s="190" t="s">
        <v>207</v>
      </c>
      <c r="E38" s="190"/>
      <c r="F38" s="190"/>
      <c r="G38" s="190"/>
      <c r="H38" s="190"/>
      <c r="I38" s="35">
        <v>0</v>
      </c>
      <c r="J38" s="35">
        <v>662.02</v>
      </c>
      <c r="K38" s="35">
        <v>676.08</v>
      </c>
    </row>
    <row r="39" spans="2:11" s="51" customFormat="1" ht="23.25" customHeight="1">
      <c r="B39" s="86" t="s">
        <v>208</v>
      </c>
      <c r="C39" s="57">
        <v>182</v>
      </c>
      <c r="D39" s="191" t="s">
        <v>209</v>
      </c>
      <c r="E39" s="191"/>
      <c r="F39" s="191"/>
      <c r="G39" s="191"/>
      <c r="H39" s="191"/>
      <c r="I39" s="88">
        <f>I40</f>
        <v>21437.3</v>
      </c>
      <c r="J39" s="88">
        <v>21476.98</v>
      </c>
      <c r="K39" s="88">
        <v>21906.52</v>
      </c>
    </row>
    <row r="40" spans="2:11" ht="45">
      <c r="B40" s="14" t="s">
        <v>210</v>
      </c>
      <c r="C40" s="146">
        <v>182</v>
      </c>
      <c r="D40" s="190" t="s">
        <v>211</v>
      </c>
      <c r="E40" s="190"/>
      <c r="F40" s="190"/>
      <c r="G40" s="190"/>
      <c r="H40" s="190"/>
      <c r="I40" s="35">
        <f>I41</f>
        <v>21437.3</v>
      </c>
      <c r="J40" s="35">
        <v>21476.98</v>
      </c>
      <c r="K40" s="35">
        <v>21906.52</v>
      </c>
    </row>
    <row r="41" spans="2:11" ht="76.5" customHeight="1">
      <c r="B41" s="147" t="s">
        <v>212</v>
      </c>
      <c r="C41" s="146">
        <v>182</v>
      </c>
      <c r="D41" s="190" t="s">
        <v>213</v>
      </c>
      <c r="E41" s="190"/>
      <c r="F41" s="190"/>
      <c r="G41" s="190"/>
      <c r="H41" s="190"/>
      <c r="I41" s="35">
        <v>21437.3</v>
      </c>
      <c r="J41" s="35">
        <v>21476.98</v>
      </c>
      <c r="K41" s="35">
        <v>21906.52</v>
      </c>
    </row>
    <row r="42" spans="2:11" ht="78" customHeight="1">
      <c r="B42" s="20" t="s">
        <v>348</v>
      </c>
      <c r="C42" s="146">
        <v>182</v>
      </c>
      <c r="D42" s="190" t="s">
        <v>349</v>
      </c>
      <c r="E42" s="190"/>
      <c r="F42" s="190"/>
      <c r="G42" s="190"/>
      <c r="H42" s="190"/>
      <c r="I42" s="35">
        <v>0</v>
      </c>
      <c r="J42" s="35">
        <v>0</v>
      </c>
      <c r="K42" s="35">
        <v>0</v>
      </c>
    </row>
    <row r="43" spans="2:11" s="51" customFormat="1" ht="15">
      <c r="B43" s="86" t="s">
        <v>214</v>
      </c>
      <c r="C43" s="149">
        <v>717</v>
      </c>
      <c r="D43" s="191" t="s">
        <v>215</v>
      </c>
      <c r="E43" s="191"/>
      <c r="F43" s="191"/>
      <c r="G43" s="191"/>
      <c r="H43" s="191"/>
      <c r="I43" s="88">
        <f>I44</f>
        <v>40</v>
      </c>
      <c r="J43" s="88">
        <v>40</v>
      </c>
      <c r="K43" s="88">
        <v>40</v>
      </c>
    </row>
    <row r="44" spans="2:11" ht="45">
      <c r="B44" s="14" t="s">
        <v>356</v>
      </c>
      <c r="C44" s="150">
        <v>717</v>
      </c>
      <c r="D44" s="190" t="s">
        <v>216</v>
      </c>
      <c r="E44" s="190"/>
      <c r="F44" s="190"/>
      <c r="G44" s="190"/>
      <c r="H44" s="190"/>
      <c r="I44" s="35">
        <f>I45</f>
        <v>40</v>
      </c>
      <c r="J44" s="35">
        <v>40</v>
      </c>
      <c r="K44" s="35">
        <v>40</v>
      </c>
    </row>
    <row r="45" spans="2:11" ht="92.25" customHeight="1">
      <c r="B45" s="14" t="s">
        <v>217</v>
      </c>
      <c r="C45" s="150">
        <v>717</v>
      </c>
      <c r="D45" s="190" t="s">
        <v>218</v>
      </c>
      <c r="E45" s="190"/>
      <c r="F45" s="190"/>
      <c r="G45" s="190"/>
      <c r="H45" s="190"/>
      <c r="I45" s="35">
        <v>40</v>
      </c>
      <c r="J45" s="35">
        <v>40</v>
      </c>
      <c r="K45" s="35">
        <v>40</v>
      </c>
    </row>
    <row r="46" spans="2:11" ht="18.75" customHeight="1">
      <c r="B46" s="86" t="s">
        <v>250</v>
      </c>
      <c r="C46" s="149">
        <v>182</v>
      </c>
      <c r="D46" s="191" t="s">
        <v>251</v>
      </c>
      <c r="E46" s="191"/>
      <c r="F46" s="191"/>
      <c r="G46" s="191"/>
      <c r="H46" s="191"/>
      <c r="I46" s="88">
        <f>I47</f>
        <v>0</v>
      </c>
      <c r="J46" s="35"/>
      <c r="K46" s="35"/>
    </row>
    <row r="47" spans="2:11" ht="147" customHeight="1">
      <c r="B47" s="151" t="s">
        <v>350</v>
      </c>
      <c r="C47" s="150">
        <v>182</v>
      </c>
      <c r="D47" s="190" t="s">
        <v>351</v>
      </c>
      <c r="E47" s="190"/>
      <c r="F47" s="190"/>
      <c r="G47" s="190"/>
      <c r="H47" s="190"/>
      <c r="I47" s="35">
        <v>0</v>
      </c>
      <c r="J47" s="35"/>
      <c r="K47" s="35"/>
    </row>
    <row r="48" spans="2:12" s="50" customFormat="1" ht="14.25">
      <c r="B48" s="152" t="s">
        <v>219</v>
      </c>
      <c r="C48" s="153"/>
      <c r="D48" s="195"/>
      <c r="E48" s="195"/>
      <c r="F48" s="195"/>
      <c r="G48" s="195"/>
      <c r="H48" s="195"/>
      <c r="I48" s="61">
        <f>I49+I59+I61+I64+I67+I46+I70</f>
        <v>26604.5</v>
      </c>
      <c r="J48" s="61">
        <v>14366</v>
      </c>
      <c r="K48" s="61">
        <v>14366</v>
      </c>
      <c r="L48" s="49"/>
    </row>
    <row r="49" spans="2:11" s="51" customFormat="1" ht="43.5" customHeight="1">
      <c r="B49" s="86" t="s">
        <v>220</v>
      </c>
      <c r="C49" s="149"/>
      <c r="D49" s="191" t="s">
        <v>221</v>
      </c>
      <c r="E49" s="191"/>
      <c r="F49" s="191"/>
      <c r="G49" s="191"/>
      <c r="H49" s="191"/>
      <c r="I49" s="88">
        <f>I50</f>
        <v>14704.5</v>
      </c>
      <c r="J49" s="88">
        <v>10816</v>
      </c>
      <c r="K49" s="88">
        <v>10816</v>
      </c>
    </row>
    <row r="50" spans="2:11" ht="103.5" customHeight="1">
      <c r="B50" s="14" t="s">
        <v>222</v>
      </c>
      <c r="C50" s="150"/>
      <c r="D50" s="190" t="s">
        <v>223</v>
      </c>
      <c r="E50" s="190"/>
      <c r="F50" s="190"/>
      <c r="G50" s="190"/>
      <c r="H50" s="190"/>
      <c r="I50" s="35">
        <f>I51+I52+I53+I56+I57+I58</f>
        <v>14704.5</v>
      </c>
      <c r="J50" s="35">
        <v>10816</v>
      </c>
      <c r="K50" s="35">
        <v>10816</v>
      </c>
    </row>
    <row r="51" spans="2:11" s="51" customFormat="1" ht="105">
      <c r="B51" s="86" t="s">
        <v>224</v>
      </c>
      <c r="C51" s="149">
        <v>717</v>
      </c>
      <c r="D51" s="191" t="s">
        <v>225</v>
      </c>
      <c r="E51" s="191"/>
      <c r="F51" s="191"/>
      <c r="G51" s="191"/>
      <c r="H51" s="191"/>
      <c r="I51" s="88">
        <v>3000</v>
      </c>
      <c r="J51" s="88">
        <v>2500</v>
      </c>
      <c r="K51" s="88">
        <v>2500</v>
      </c>
    </row>
    <row r="52" spans="2:11" s="51" customFormat="1" ht="105">
      <c r="B52" s="86" t="s">
        <v>226</v>
      </c>
      <c r="C52" s="149">
        <v>717</v>
      </c>
      <c r="D52" s="191" t="s">
        <v>227</v>
      </c>
      <c r="E52" s="191"/>
      <c r="F52" s="191"/>
      <c r="G52" s="191"/>
      <c r="H52" s="191"/>
      <c r="I52" s="88">
        <v>2000</v>
      </c>
      <c r="J52" s="88">
        <v>1300</v>
      </c>
      <c r="K52" s="88">
        <v>1300</v>
      </c>
    </row>
    <row r="53" spans="2:11" s="51" customFormat="1" ht="96.75" customHeight="1">
      <c r="B53" s="86" t="s">
        <v>228</v>
      </c>
      <c r="C53" s="149">
        <v>813</v>
      </c>
      <c r="D53" s="191" t="s">
        <v>229</v>
      </c>
      <c r="E53" s="191"/>
      <c r="F53" s="191"/>
      <c r="G53" s="191"/>
      <c r="H53" s="191"/>
      <c r="I53" s="88">
        <f>I54+I55</f>
        <v>7000</v>
      </c>
      <c r="J53" s="88">
        <v>7000</v>
      </c>
      <c r="K53" s="88">
        <v>7000</v>
      </c>
    </row>
    <row r="54" spans="2:11" ht="90">
      <c r="B54" s="147" t="s">
        <v>230</v>
      </c>
      <c r="C54" s="150">
        <v>813</v>
      </c>
      <c r="D54" s="190" t="s">
        <v>231</v>
      </c>
      <c r="E54" s="190"/>
      <c r="F54" s="190"/>
      <c r="G54" s="190"/>
      <c r="H54" s="190"/>
      <c r="I54" s="35">
        <v>3500</v>
      </c>
      <c r="J54" s="35">
        <v>3500</v>
      </c>
      <c r="K54" s="35">
        <v>3500</v>
      </c>
    </row>
    <row r="55" spans="2:11" ht="120">
      <c r="B55" s="147" t="s">
        <v>232</v>
      </c>
      <c r="C55" s="150">
        <v>813</v>
      </c>
      <c r="D55" s="190" t="s">
        <v>233</v>
      </c>
      <c r="E55" s="190"/>
      <c r="F55" s="190"/>
      <c r="G55" s="190"/>
      <c r="H55" s="190"/>
      <c r="I55" s="35">
        <v>3500</v>
      </c>
      <c r="J55" s="35">
        <v>3500</v>
      </c>
      <c r="K55" s="35">
        <v>3500</v>
      </c>
    </row>
    <row r="56" spans="2:11" s="51" customFormat="1" ht="137.25" customHeight="1">
      <c r="B56" s="23" t="s">
        <v>234</v>
      </c>
      <c r="C56" s="149">
        <v>813</v>
      </c>
      <c r="D56" s="191" t="s">
        <v>235</v>
      </c>
      <c r="E56" s="191"/>
      <c r="F56" s="191"/>
      <c r="G56" s="191"/>
      <c r="H56" s="191"/>
      <c r="I56" s="88">
        <v>5</v>
      </c>
      <c r="J56" s="88">
        <v>5</v>
      </c>
      <c r="K56" s="88">
        <v>5</v>
      </c>
    </row>
    <row r="57" spans="2:11" s="51" customFormat="1" ht="138" customHeight="1">
      <c r="B57" s="23" t="s">
        <v>297</v>
      </c>
      <c r="C57" s="149">
        <v>717</v>
      </c>
      <c r="D57" s="191" t="s">
        <v>298</v>
      </c>
      <c r="E57" s="191"/>
      <c r="F57" s="191"/>
      <c r="G57" s="191"/>
      <c r="H57" s="191"/>
      <c r="I57" s="88">
        <v>11</v>
      </c>
      <c r="J57" s="88">
        <v>11</v>
      </c>
      <c r="K57" s="88">
        <v>11</v>
      </c>
    </row>
    <row r="58" spans="2:11" s="51" customFormat="1" ht="138" customHeight="1">
      <c r="B58" s="23" t="s">
        <v>477</v>
      </c>
      <c r="C58" s="149">
        <v>717</v>
      </c>
      <c r="D58" s="192" t="s">
        <v>478</v>
      </c>
      <c r="E58" s="193"/>
      <c r="F58" s="193"/>
      <c r="G58" s="193"/>
      <c r="H58" s="194"/>
      <c r="I58" s="88">
        <v>2688.5</v>
      </c>
      <c r="J58" s="88"/>
      <c r="K58" s="88"/>
    </row>
    <row r="59" spans="2:11" s="51" customFormat="1" ht="41.25" customHeight="1">
      <c r="B59" s="86" t="s">
        <v>236</v>
      </c>
      <c r="C59" s="149">
        <v>717</v>
      </c>
      <c r="D59" s="191" t="s">
        <v>237</v>
      </c>
      <c r="E59" s="191"/>
      <c r="F59" s="191"/>
      <c r="G59" s="191"/>
      <c r="H59" s="191"/>
      <c r="I59" s="88">
        <f>I60</f>
        <v>500</v>
      </c>
      <c r="J59" s="88">
        <v>500</v>
      </c>
      <c r="K59" s="88">
        <v>500</v>
      </c>
    </row>
    <row r="60" spans="2:11" ht="43.5" customHeight="1">
      <c r="B60" s="14" t="s">
        <v>238</v>
      </c>
      <c r="C60" s="150">
        <v>717</v>
      </c>
      <c r="D60" s="190" t="s">
        <v>239</v>
      </c>
      <c r="E60" s="190"/>
      <c r="F60" s="190"/>
      <c r="G60" s="190"/>
      <c r="H60" s="190"/>
      <c r="I60" s="35">
        <v>500</v>
      </c>
      <c r="J60" s="35">
        <v>500</v>
      </c>
      <c r="K60" s="35">
        <v>500</v>
      </c>
    </row>
    <row r="61" spans="2:11" s="51" customFormat="1" ht="30">
      <c r="B61" s="86" t="s">
        <v>240</v>
      </c>
      <c r="C61" s="149">
        <v>717</v>
      </c>
      <c r="D61" s="191" t="s">
        <v>241</v>
      </c>
      <c r="E61" s="191"/>
      <c r="F61" s="191"/>
      <c r="G61" s="191"/>
      <c r="H61" s="191"/>
      <c r="I61" s="88">
        <f>SUM(I62:I63)</f>
        <v>8500</v>
      </c>
      <c r="J61" s="88">
        <v>2800</v>
      </c>
      <c r="K61" s="88">
        <v>2800</v>
      </c>
    </row>
    <row r="62" spans="2:11" ht="105">
      <c r="B62" s="14" t="s">
        <v>242</v>
      </c>
      <c r="C62" s="150">
        <v>717</v>
      </c>
      <c r="D62" s="190" t="s">
        <v>243</v>
      </c>
      <c r="E62" s="190"/>
      <c r="F62" s="190"/>
      <c r="G62" s="190"/>
      <c r="H62" s="190"/>
      <c r="I62" s="35">
        <v>500</v>
      </c>
      <c r="J62" s="35">
        <v>0</v>
      </c>
      <c r="K62" s="35">
        <v>0</v>
      </c>
    </row>
    <row r="63" spans="2:11" ht="75">
      <c r="B63" s="14" t="s">
        <v>244</v>
      </c>
      <c r="C63" s="150">
        <v>717</v>
      </c>
      <c r="D63" s="190" t="s">
        <v>245</v>
      </c>
      <c r="E63" s="190"/>
      <c r="F63" s="190"/>
      <c r="G63" s="190"/>
      <c r="H63" s="190"/>
      <c r="I63" s="35">
        <v>8000</v>
      </c>
      <c r="J63" s="35">
        <v>0</v>
      </c>
      <c r="K63" s="35">
        <v>0</v>
      </c>
    </row>
    <row r="64" spans="2:11" s="51" customFormat="1" ht="30">
      <c r="B64" s="86" t="s">
        <v>240</v>
      </c>
      <c r="C64" s="149">
        <v>813</v>
      </c>
      <c r="D64" s="191" t="s">
        <v>241</v>
      </c>
      <c r="E64" s="191"/>
      <c r="F64" s="191"/>
      <c r="G64" s="191"/>
      <c r="H64" s="191"/>
      <c r="I64" s="88">
        <f>SUM(I65:I66)</f>
        <v>2800</v>
      </c>
      <c r="J64" s="88">
        <v>2800</v>
      </c>
      <c r="K64" s="88">
        <v>2800</v>
      </c>
    </row>
    <row r="65" spans="2:11" ht="60">
      <c r="B65" s="14" t="s">
        <v>246</v>
      </c>
      <c r="C65" s="150">
        <v>813</v>
      </c>
      <c r="D65" s="190" t="s">
        <v>247</v>
      </c>
      <c r="E65" s="190"/>
      <c r="F65" s="190"/>
      <c r="G65" s="190"/>
      <c r="H65" s="190"/>
      <c r="I65" s="35">
        <v>800</v>
      </c>
      <c r="J65" s="35">
        <v>800</v>
      </c>
      <c r="K65" s="35">
        <v>800</v>
      </c>
    </row>
    <row r="66" spans="2:11" ht="90" customHeight="1">
      <c r="B66" s="147" t="s">
        <v>248</v>
      </c>
      <c r="C66" s="150">
        <v>813</v>
      </c>
      <c r="D66" s="190" t="s">
        <v>249</v>
      </c>
      <c r="E66" s="190"/>
      <c r="F66" s="190"/>
      <c r="G66" s="190"/>
      <c r="H66" s="190"/>
      <c r="I66" s="35">
        <v>2000</v>
      </c>
      <c r="J66" s="35">
        <v>2000</v>
      </c>
      <c r="K66" s="35">
        <v>2000</v>
      </c>
    </row>
    <row r="67" spans="2:11" s="51" customFormat="1" ht="15">
      <c r="B67" s="86" t="s">
        <v>250</v>
      </c>
      <c r="C67" s="149">
        <v>717</v>
      </c>
      <c r="D67" s="191" t="s">
        <v>251</v>
      </c>
      <c r="E67" s="191"/>
      <c r="F67" s="191"/>
      <c r="G67" s="191"/>
      <c r="H67" s="191"/>
      <c r="I67" s="88">
        <f>SUM(I68:I69)</f>
        <v>0</v>
      </c>
      <c r="J67" s="88">
        <v>150</v>
      </c>
      <c r="K67" s="88">
        <v>150</v>
      </c>
    </row>
    <row r="68" spans="2:11" ht="78.75" customHeight="1">
      <c r="B68" s="14" t="s">
        <v>252</v>
      </c>
      <c r="C68" s="150">
        <v>717</v>
      </c>
      <c r="D68" s="190" t="s">
        <v>253</v>
      </c>
      <c r="E68" s="190"/>
      <c r="F68" s="190"/>
      <c r="G68" s="190"/>
      <c r="H68" s="190"/>
      <c r="I68" s="35">
        <v>0</v>
      </c>
      <c r="J68" s="35">
        <v>50</v>
      </c>
      <c r="K68" s="35">
        <v>50</v>
      </c>
    </row>
    <row r="69" spans="2:11" ht="75">
      <c r="B69" s="14" t="s">
        <v>355</v>
      </c>
      <c r="C69" s="150">
        <v>717</v>
      </c>
      <c r="D69" s="190" t="s">
        <v>254</v>
      </c>
      <c r="E69" s="190"/>
      <c r="F69" s="190"/>
      <c r="G69" s="190"/>
      <c r="H69" s="190"/>
      <c r="I69" s="35">
        <v>0</v>
      </c>
      <c r="J69" s="35">
        <v>100</v>
      </c>
      <c r="K69" s="35">
        <v>100</v>
      </c>
    </row>
    <row r="70" spans="2:11" s="51" customFormat="1" ht="30">
      <c r="B70" s="154" t="s">
        <v>255</v>
      </c>
      <c r="C70" s="149">
        <v>717</v>
      </c>
      <c r="D70" s="191" t="s">
        <v>256</v>
      </c>
      <c r="E70" s="191"/>
      <c r="F70" s="191"/>
      <c r="G70" s="191"/>
      <c r="H70" s="191"/>
      <c r="I70" s="88">
        <v>100</v>
      </c>
      <c r="J70" s="88">
        <v>100</v>
      </c>
      <c r="K70" s="88">
        <v>100</v>
      </c>
    </row>
    <row r="71" spans="2:11" s="50" customFormat="1" ht="22.5" customHeight="1">
      <c r="B71" s="24" t="s">
        <v>257</v>
      </c>
      <c r="C71" s="155">
        <v>717</v>
      </c>
      <c r="D71" s="196" t="s">
        <v>258</v>
      </c>
      <c r="E71" s="196"/>
      <c r="F71" s="196"/>
      <c r="G71" s="196"/>
      <c r="H71" s="196"/>
      <c r="I71" s="61">
        <f>I72</f>
        <v>475134.9</v>
      </c>
      <c r="J71" s="61">
        <v>451147</v>
      </c>
      <c r="K71" s="61">
        <v>95902.8</v>
      </c>
    </row>
    <row r="72" spans="2:12" s="53" customFormat="1" ht="45">
      <c r="B72" s="86" t="s">
        <v>259</v>
      </c>
      <c r="C72" s="149">
        <v>717</v>
      </c>
      <c r="D72" s="191" t="s">
        <v>443</v>
      </c>
      <c r="E72" s="191"/>
      <c r="F72" s="191"/>
      <c r="G72" s="191"/>
      <c r="H72" s="191"/>
      <c r="I72" s="88">
        <f>I73+I75+I77+I78+I81</f>
        <v>475134.9</v>
      </c>
      <c r="J72" s="156">
        <v>451147</v>
      </c>
      <c r="K72" s="156">
        <v>95902.8</v>
      </c>
      <c r="L72" s="52"/>
    </row>
    <row r="73" spans="2:11" s="51" customFormat="1" ht="30">
      <c r="B73" s="86" t="s">
        <v>447</v>
      </c>
      <c r="C73" s="149">
        <v>717</v>
      </c>
      <c r="D73" s="191" t="s">
        <v>446</v>
      </c>
      <c r="E73" s="191"/>
      <c r="F73" s="191"/>
      <c r="G73" s="191"/>
      <c r="H73" s="191"/>
      <c r="I73" s="88">
        <f>I74</f>
        <v>10854</v>
      </c>
      <c r="J73" s="88">
        <v>0</v>
      </c>
      <c r="K73" s="88">
        <v>0</v>
      </c>
    </row>
    <row r="74" spans="2:11" ht="45">
      <c r="B74" s="14" t="s">
        <v>260</v>
      </c>
      <c r="C74" s="150">
        <v>717</v>
      </c>
      <c r="D74" s="190" t="s">
        <v>261</v>
      </c>
      <c r="E74" s="190"/>
      <c r="F74" s="190"/>
      <c r="G74" s="190"/>
      <c r="H74" s="190"/>
      <c r="I74" s="35">
        <v>10854</v>
      </c>
      <c r="J74" s="35">
        <v>0</v>
      </c>
      <c r="K74" s="35">
        <v>0</v>
      </c>
    </row>
    <row r="75" spans="2:11" ht="48" customHeight="1">
      <c r="B75" s="14" t="s">
        <v>448</v>
      </c>
      <c r="C75" s="150">
        <v>717</v>
      </c>
      <c r="D75" s="190" t="s">
        <v>330</v>
      </c>
      <c r="E75" s="190"/>
      <c r="F75" s="190"/>
      <c r="G75" s="190"/>
      <c r="H75" s="190"/>
      <c r="I75" s="35">
        <f>14407.4+345723.4</f>
        <v>360130.80000000005</v>
      </c>
      <c r="J75" s="35">
        <v>353174.3</v>
      </c>
      <c r="K75" s="35">
        <v>0</v>
      </c>
    </row>
    <row r="76" spans="2:11" ht="45">
      <c r="B76" s="14" t="s">
        <v>449</v>
      </c>
      <c r="C76" s="150">
        <v>717</v>
      </c>
      <c r="D76" s="190" t="s">
        <v>262</v>
      </c>
      <c r="E76" s="190"/>
      <c r="F76" s="190"/>
      <c r="G76" s="190"/>
      <c r="H76" s="190"/>
      <c r="I76" s="35">
        <v>0</v>
      </c>
      <c r="J76" s="35">
        <v>0</v>
      </c>
      <c r="K76" s="35">
        <v>0</v>
      </c>
    </row>
    <row r="77" spans="2:11" ht="19.5" customHeight="1">
      <c r="B77" s="14" t="s">
        <v>450</v>
      </c>
      <c r="C77" s="150">
        <v>717</v>
      </c>
      <c r="D77" s="190" t="s">
        <v>263</v>
      </c>
      <c r="E77" s="190"/>
      <c r="F77" s="190"/>
      <c r="G77" s="190"/>
      <c r="H77" s="190"/>
      <c r="I77" s="35">
        <v>100830.8</v>
      </c>
      <c r="J77" s="35">
        <v>95103.1</v>
      </c>
      <c r="K77" s="35">
        <v>92931.6</v>
      </c>
    </row>
    <row r="78" spans="2:11" s="51" customFormat="1" ht="31.5" customHeight="1">
      <c r="B78" s="86" t="s">
        <v>451</v>
      </c>
      <c r="C78" s="149">
        <v>717</v>
      </c>
      <c r="D78" s="191" t="s">
        <v>445</v>
      </c>
      <c r="E78" s="191"/>
      <c r="F78" s="191"/>
      <c r="G78" s="191"/>
      <c r="H78" s="191"/>
      <c r="I78" s="88">
        <f>SUM(I79:I80)</f>
        <v>3319.3</v>
      </c>
      <c r="J78" s="88">
        <v>2869.6</v>
      </c>
      <c r="K78" s="88">
        <v>2971.2</v>
      </c>
    </row>
    <row r="79" spans="2:11" ht="30.75" customHeight="1">
      <c r="B79" s="14" t="s">
        <v>452</v>
      </c>
      <c r="C79" s="150">
        <v>717</v>
      </c>
      <c r="D79" s="190" t="s">
        <v>265</v>
      </c>
      <c r="E79" s="190"/>
      <c r="F79" s="190"/>
      <c r="G79" s="190"/>
      <c r="H79" s="190"/>
      <c r="I79" s="35">
        <v>121.5</v>
      </c>
      <c r="J79" s="35">
        <v>139.8</v>
      </c>
      <c r="K79" s="35">
        <v>139.8</v>
      </c>
    </row>
    <row r="80" spans="2:11" ht="63.75" customHeight="1">
      <c r="B80" s="14" t="s">
        <v>453</v>
      </c>
      <c r="C80" s="150">
        <v>717</v>
      </c>
      <c r="D80" s="190" t="s">
        <v>264</v>
      </c>
      <c r="E80" s="190"/>
      <c r="F80" s="190"/>
      <c r="G80" s="190"/>
      <c r="H80" s="190"/>
      <c r="I80" s="35">
        <v>3197.8</v>
      </c>
      <c r="J80" s="35">
        <v>2729.8</v>
      </c>
      <c r="K80" s="35">
        <v>2831.4</v>
      </c>
    </row>
    <row r="81" spans="2:11" s="54" customFormat="1" ht="33" customHeight="1">
      <c r="B81" s="86" t="s">
        <v>442</v>
      </c>
      <c r="C81" s="149">
        <v>717</v>
      </c>
      <c r="D81" s="191" t="s">
        <v>444</v>
      </c>
      <c r="E81" s="191"/>
      <c r="F81" s="191"/>
      <c r="G81" s="191"/>
      <c r="H81" s="191"/>
      <c r="I81" s="88">
        <f>I82</f>
        <v>0</v>
      </c>
      <c r="J81" s="88"/>
      <c r="K81" s="88"/>
    </row>
    <row r="82" spans="2:11" s="56" customFormat="1" ht="86.25" customHeight="1">
      <c r="B82" s="14" t="s">
        <v>361</v>
      </c>
      <c r="C82" s="150">
        <v>717</v>
      </c>
      <c r="D82" s="190" t="s">
        <v>362</v>
      </c>
      <c r="E82" s="190"/>
      <c r="F82" s="190"/>
      <c r="G82" s="190"/>
      <c r="H82" s="190"/>
      <c r="I82" s="35">
        <v>0</v>
      </c>
      <c r="J82" s="35"/>
      <c r="K82" s="35"/>
    </row>
    <row r="83" spans="2:11" s="50" customFormat="1" ht="14.25">
      <c r="B83" s="24" t="s">
        <v>266</v>
      </c>
      <c r="C83" s="24"/>
      <c r="D83" s="196"/>
      <c r="E83" s="196"/>
      <c r="F83" s="196"/>
      <c r="G83" s="196"/>
      <c r="H83" s="196"/>
      <c r="I83" s="61">
        <f>I6+I48+I71</f>
        <v>606203</v>
      </c>
      <c r="J83" s="61">
        <v>579372.54</v>
      </c>
      <c r="K83" s="61">
        <v>225984.67</v>
      </c>
    </row>
    <row r="84" spans="2:8" ht="17.25" customHeight="1">
      <c r="B84" s="157"/>
      <c r="C84" s="157"/>
      <c r="D84" s="158"/>
      <c r="E84" s="158"/>
      <c r="F84" s="158"/>
      <c r="G84" s="158"/>
      <c r="H84" s="60"/>
    </row>
    <row r="85" spans="2:8" ht="17.25" customHeight="1">
      <c r="B85" s="157"/>
      <c r="C85" s="157"/>
      <c r="D85" s="158"/>
      <c r="E85" s="158"/>
      <c r="F85" s="158"/>
      <c r="G85" s="158"/>
      <c r="H85" s="60"/>
    </row>
    <row r="86" spans="2:11" ht="17.25" customHeight="1">
      <c r="B86" s="157"/>
      <c r="C86" s="157"/>
      <c r="D86" s="158"/>
      <c r="E86" s="158"/>
      <c r="F86" s="158"/>
      <c r="G86" s="158"/>
      <c r="H86" s="60"/>
      <c r="I86" s="55"/>
      <c r="J86" s="46"/>
      <c r="K86" s="46"/>
    </row>
    <row r="87" spans="2:9" ht="20.25" customHeight="1">
      <c r="B87" s="159"/>
      <c r="C87" s="159"/>
      <c r="D87" s="158"/>
      <c r="E87" s="158"/>
      <c r="F87" s="160"/>
      <c r="G87" s="160"/>
      <c r="H87" s="160"/>
      <c r="I87" s="55"/>
    </row>
    <row r="88" spans="2:8" ht="18.75" customHeight="1">
      <c r="B88" s="159"/>
      <c r="C88" s="159"/>
      <c r="D88" s="160"/>
      <c r="E88" s="160"/>
      <c r="F88" s="160"/>
      <c r="G88" s="160"/>
      <c r="H88" s="160"/>
    </row>
    <row r="89" spans="2:8" ht="39.75" customHeight="1">
      <c r="B89" s="159"/>
      <c r="C89" s="159"/>
      <c r="D89" s="158"/>
      <c r="E89" s="158"/>
      <c r="F89" s="160"/>
      <c r="G89" s="160"/>
      <c r="H89" s="160"/>
    </row>
    <row r="90" spans="2:8" ht="31.5" customHeight="1">
      <c r="B90" s="159"/>
      <c r="C90" s="159"/>
      <c r="D90" s="158"/>
      <c r="E90" s="158"/>
      <c r="F90" s="158"/>
      <c r="G90" s="158"/>
      <c r="H90" s="158"/>
    </row>
    <row r="91" spans="2:8" ht="21.75" customHeight="1">
      <c r="B91" s="157"/>
      <c r="C91" s="157"/>
      <c r="D91" s="158"/>
      <c r="E91" s="158"/>
      <c r="F91" s="158"/>
      <c r="G91" s="158"/>
      <c r="H91" s="158"/>
    </row>
    <row r="92" spans="2:8" ht="22.5" customHeight="1">
      <c r="B92" s="157"/>
      <c r="C92" s="157"/>
      <c r="D92" s="158"/>
      <c r="E92" s="158"/>
      <c r="F92" s="158"/>
      <c r="G92" s="158"/>
      <c r="H92" s="158"/>
    </row>
    <row r="93" spans="2:8" ht="23.25" customHeight="1">
      <c r="B93" s="157"/>
      <c r="C93" s="157"/>
      <c r="D93" s="158"/>
      <c r="E93" s="158"/>
      <c r="F93" s="158"/>
      <c r="G93" s="158"/>
      <c r="H93" s="158"/>
    </row>
    <row r="94" spans="2:8" ht="53.25" customHeight="1">
      <c r="B94" s="159"/>
      <c r="C94" s="159"/>
      <c r="D94" s="160"/>
      <c r="E94" s="160"/>
      <c r="F94" s="160"/>
      <c r="G94" s="160"/>
      <c r="H94" s="160"/>
    </row>
    <row r="95" spans="2:8" ht="22.5" customHeight="1">
      <c r="B95" s="157"/>
      <c r="C95" s="157"/>
      <c r="D95" s="160"/>
      <c r="E95" s="160"/>
      <c r="F95" s="160"/>
      <c r="G95" s="160"/>
      <c r="H95" s="160"/>
    </row>
    <row r="96" spans="2:8" ht="28.5" customHeight="1">
      <c r="B96" s="157"/>
      <c r="C96" s="157"/>
      <c r="D96" s="160"/>
      <c r="E96" s="160"/>
      <c r="F96" s="160"/>
      <c r="G96" s="160"/>
      <c r="H96" s="160"/>
    </row>
    <row r="97" spans="2:8" ht="22.5" customHeight="1">
      <c r="B97" s="157"/>
      <c r="C97" s="157"/>
      <c r="D97" s="160"/>
      <c r="E97" s="160"/>
      <c r="F97" s="158"/>
      <c r="G97" s="158"/>
      <c r="H97" s="158"/>
    </row>
    <row r="98" spans="2:8" ht="22.5" customHeight="1">
      <c r="B98" s="157"/>
      <c r="C98" s="157"/>
      <c r="D98" s="160"/>
      <c r="E98" s="160"/>
      <c r="F98" s="158"/>
      <c r="G98" s="158"/>
      <c r="H98" s="158"/>
    </row>
    <row r="99" spans="2:8" ht="22.5" customHeight="1">
      <c r="B99" s="157"/>
      <c r="C99" s="157"/>
      <c r="D99" s="160"/>
      <c r="E99" s="160"/>
      <c r="F99" s="158"/>
      <c r="G99" s="158"/>
      <c r="H99" s="158"/>
    </row>
    <row r="100" spans="2:8" ht="22.5" customHeight="1">
      <c r="B100" s="157"/>
      <c r="C100" s="157"/>
      <c r="D100" s="160"/>
      <c r="E100" s="160"/>
      <c r="F100" s="158"/>
      <c r="G100" s="158"/>
      <c r="H100" s="158"/>
    </row>
    <row r="101" spans="2:8" ht="29.25" customHeight="1" hidden="1">
      <c r="B101" s="157"/>
      <c r="C101" s="157"/>
      <c r="D101" s="160"/>
      <c r="E101" s="160"/>
      <c r="F101" s="158"/>
      <c r="G101" s="158"/>
      <c r="H101" s="158"/>
    </row>
    <row r="102" spans="2:8" ht="30" customHeight="1" hidden="1">
      <c r="B102" s="157"/>
      <c r="C102" s="157"/>
      <c r="D102" s="160"/>
      <c r="E102" s="160"/>
      <c r="F102" s="158"/>
      <c r="G102" s="158"/>
      <c r="H102" s="158"/>
    </row>
    <row r="103" spans="2:8" ht="22.5" customHeight="1">
      <c r="B103" s="157"/>
      <c r="C103" s="157"/>
      <c r="D103" s="160"/>
      <c r="E103" s="160"/>
      <c r="F103" s="158"/>
      <c r="G103" s="158"/>
      <c r="H103" s="158"/>
    </row>
    <row r="104" spans="2:8" ht="22.5" customHeight="1">
      <c r="B104" s="157"/>
      <c r="C104" s="157"/>
      <c r="D104" s="160"/>
      <c r="E104" s="160"/>
      <c r="F104" s="158"/>
      <c r="G104" s="158"/>
      <c r="H104" s="158"/>
    </row>
    <row r="105" spans="2:8" ht="22.5" customHeight="1">
      <c r="B105" s="157"/>
      <c r="C105" s="157"/>
      <c r="D105" s="160"/>
      <c r="E105" s="160"/>
      <c r="F105" s="158"/>
      <c r="G105" s="158"/>
      <c r="H105" s="158"/>
    </row>
    <row r="106" spans="2:8" ht="35.25" customHeight="1">
      <c r="B106" s="159"/>
      <c r="C106" s="159"/>
      <c r="D106" s="160"/>
      <c r="E106" s="160"/>
      <c r="F106" s="160"/>
      <c r="G106" s="160"/>
      <c r="H106" s="160"/>
    </row>
    <row r="107" spans="2:8" ht="28.5" customHeight="1">
      <c r="B107" s="157"/>
      <c r="C107" s="157"/>
      <c r="D107" s="160"/>
      <c r="E107" s="160"/>
      <c r="F107" s="158"/>
      <c r="G107" s="158"/>
      <c r="H107" s="158"/>
    </row>
    <row r="108" spans="2:8" ht="22.5" customHeight="1">
      <c r="B108" s="157"/>
      <c r="C108" s="157"/>
      <c r="D108" s="160"/>
      <c r="E108" s="160"/>
      <c r="F108" s="158"/>
      <c r="G108" s="158"/>
      <c r="H108" s="158"/>
    </row>
    <row r="109" spans="2:8" ht="22.5" customHeight="1">
      <c r="B109" s="157"/>
      <c r="C109" s="157"/>
      <c r="D109" s="160"/>
      <c r="E109" s="160"/>
      <c r="F109" s="158"/>
      <c r="G109" s="158"/>
      <c r="H109" s="158"/>
    </row>
    <row r="110" spans="2:8" ht="22.5" customHeight="1">
      <c r="B110" s="157"/>
      <c r="C110" s="157"/>
      <c r="D110" s="160"/>
      <c r="E110" s="160"/>
      <c r="F110" s="158"/>
      <c r="G110" s="158"/>
      <c r="H110" s="158"/>
    </row>
    <row r="111" spans="2:8" ht="21.75" customHeight="1">
      <c r="B111" s="159"/>
      <c r="C111" s="159"/>
      <c r="D111" s="160"/>
      <c r="E111" s="160"/>
      <c r="F111" s="160"/>
      <c r="G111" s="160"/>
      <c r="H111" s="160"/>
    </row>
    <row r="112" spans="2:8" ht="21" customHeight="1">
      <c r="B112" s="63"/>
      <c r="C112" s="63"/>
      <c r="D112" s="160"/>
      <c r="E112" s="160"/>
      <c r="F112" s="160"/>
      <c r="G112" s="160"/>
      <c r="H112" s="160"/>
    </row>
    <row r="113" spans="2:8" ht="21" customHeight="1">
      <c r="B113" s="161"/>
      <c r="C113" s="161"/>
      <c r="D113" s="160"/>
      <c r="E113" s="160"/>
      <c r="F113" s="160"/>
      <c r="G113" s="160"/>
      <c r="H113" s="160"/>
    </row>
    <row r="114" spans="2:8" ht="30" customHeight="1">
      <c r="B114" s="157"/>
      <c r="C114" s="157"/>
      <c r="D114" s="158"/>
      <c r="E114" s="158"/>
      <c r="F114" s="158"/>
      <c r="G114" s="158"/>
      <c r="H114" s="158"/>
    </row>
    <row r="115" spans="2:8" ht="18" customHeight="1">
      <c r="B115" s="157"/>
      <c r="C115" s="157"/>
      <c r="D115" s="158"/>
      <c r="E115" s="158"/>
      <c r="F115" s="158"/>
      <c r="G115" s="158"/>
      <c r="H115" s="158"/>
    </row>
    <row r="116" spans="2:8" ht="18.75" customHeight="1">
      <c r="B116" s="157"/>
      <c r="C116" s="157"/>
      <c r="D116" s="158"/>
      <c r="E116" s="158"/>
      <c r="F116" s="158"/>
      <c r="G116" s="158"/>
      <c r="H116" s="158"/>
    </row>
    <row r="117" spans="2:8" ht="20.25" customHeight="1">
      <c r="B117" s="157"/>
      <c r="C117" s="157"/>
      <c r="D117" s="158"/>
      <c r="E117" s="158"/>
      <c r="F117" s="158"/>
      <c r="G117" s="158"/>
      <c r="H117" s="158"/>
    </row>
    <row r="118" spans="2:8" ht="16.5" customHeight="1">
      <c r="B118" s="157"/>
      <c r="C118" s="157"/>
      <c r="D118" s="158"/>
      <c r="E118" s="158"/>
      <c r="F118" s="158"/>
      <c r="G118" s="158"/>
      <c r="H118" s="158"/>
    </row>
    <row r="119" spans="2:8" ht="24" customHeight="1">
      <c r="B119" s="157"/>
      <c r="C119" s="157"/>
      <c r="D119" s="158"/>
      <c r="E119" s="158"/>
      <c r="F119" s="158"/>
      <c r="G119" s="158"/>
      <c r="H119" s="158"/>
    </row>
    <row r="120" spans="2:8" ht="17.25" customHeight="1">
      <c r="B120" s="157"/>
      <c r="C120" s="157"/>
      <c r="D120" s="158"/>
      <c r="E120" s="158"/>
      <c r="F120" s="158"/>
      <c r="G120" s="158"/>
      <c r="H120" s="158"/>
    </row>
    <row r="121" spans="2:8" ht="17.25" customHeight="1">
      <c r="B121" s="157"/>
      <c r="C121" s="157"/>
      <c r="D121" s="158"/>
      <c r="E121" s="158"/>
      <c r="F121" s="158"/>
      <c r="G121" s="158"/>
      <c r="H121" s="158"/>
    </row>
    <row r="122" spans="2:8" ht="43.5" customHeight="1">
      <c r="B122" s="159"/>
      <c r="C122" s="159"/>
      <c r="D122" s="160"/>
      <c r="E122" s="160"/>
      <c r="F122" s="160"/>
      <c r="G122" s="160"/>
      <c r="H122" s="160"/>
    </row>
    <row r="123" spans="2:8" ht="17.25" customHeight="1">
      <c r="B123" s="157"/>
      <c r="C123" s="157"/>
      <c r="D123" s="158"/>
      <c r="E123" s="158"/>
      <c r="F123" s="158"/>
      <c r="G123" s="158"/>
      <c r="H123" s="158"/>
    </row>
    <row r="124" spans="2:8" ht="17.25" customHeight="1">
      <c r="B124" s="157"/>
      <c r="C124" s="157"/>
      <c r="D124" s="158"/>
      <c r="E124" s="158"/>
      <c r="F124" s="158"/>
      <c r="G124" s="158"/>
      <c r="H124" s="158"/>
    </row>
    <row r="125" spans="2:8" ht="17.25" customHeight="1">
      <c r="B125" s="159"/>
      <c r="C125" s="159"/>
      <c r="D125" s="160"/>
      <c r="E125" s="160"/>
      <c r="F125" s="160"/>
      <c r="G125" s="160"/>
      <c r="H125" s="160"/>
    </row>
    <row r="126" spans="2:8" ht="32.25" customHeight="1">
      <c r="B126" s="159"/>
      <c r="C126" s="159"/>
      <c r="D126" s="158"/>
      <c r="E126" s="158"/>
      <c r="F126" s="158"/>
      <c r="G126" s="158"/>
      <c r="H126" s="158"/>
    </row>
    <row r="127" spans="2:8" ht="17.25" customHeight="1">
      <c r="B127" s="157"/>
      <c r="C127" s="157"/>
      <c r="D127" s="158"/>
      <c r="E127" s="158"/>
      <c r="F127" s="158"/>
      <c r="G127" s="158"/>
      <c r="H127" s="158"/>
    </row>
    <row r="128" spans="2:8" ht="17.25" customHeight="1">
      <c r="B128" s="157"/>
      <c r="C128" s="157"/>
      <c r="D128" s="158"/>
      <c r="E128" s="158"/>
      <c r="F128" s="158"/>
      <c r="G128" s="158"/>
      <c r="H128" s="158"/>
    </row>
    <row r="129" spans="2:8" ht="17.25" customHeight="1">
      <c r="B129" s="159"/>
      <c r="C129" s="159"/>
      <c r="D129" s="160"/>
      <c r="E129" s="160"/>
      <c r="F129" s="160"/>
      <c r="G129" s="160"/>
      <c r="H129" s="160"/>
    </row>
    <row r="130" spans="2:8" ht="18.75" customHeight="1">
      <c r="B130" s="162"/>
      <c r="C130" s="162"/>
      <c r="D130" s="160"/>
      <c r="E130" s="160"/>
      <c r="F130" s="160"/>
      <c r="G130" s="160"/>
      <c r="H130" s="160"/>
    </row>
    <row r="131" spans="2:8" ht="18.75" customHeight="1">
      <c r="B131" s="162"/>
      <c r="C131" s="162"/>
      <c r="D131" s="160"/>
      <c r="E131" s="160"/>
      <c r="F131" s="160"/>
      <c r="G131" s="160"/>
      <c r="H131" s="160"/>
    </row>
    <row r="132" spans="2:8" ht="18.75" customHeight="1">
      <c r="B132" s="157"/>
      <c r="C132" s="157"/>
      <c r="D132" s="158"/>
      <c r="E132" s="158"/>
      <c r="F132" s="158"/>
      <c r="G132" s="158"/>
      <c r="H132" s="158"/>
    </row>
    <row r="133" spans="2:8" ht="18" customHeight="1">
      <c r="B133" s="157"/>
      <c r="C133" s="157"/>
      <c r="D133" s="158"/>
      <c r="E133" s="158"/>
      <c r="F133" s="158"/>
      <c r="G133" s="158"/>
      <c r="H133" s="158"/>
    </row>
    <row r="134" spans="2:8" ht="20.25" customHeight="1">
      <c r="B134" s="157"/>
      <c r="C134" s="157"/>
      <c r="D134" s="158"/>
      <c r="E134" s="158"/>
      <c r="F134" s="158"/>
      <c r="G134" s="158"/>
      <c r="H134" s="158"/>
    </row>
    <row r="135" spans="2:8" ht="18.75" customHeight="1">
      <c r="B135" s="157"/>
      <c r="C135" s="157"/>
      <c r="D135" s="158"/>
      <c r="E135" s="158"/>
      <c r="F135" s="158"/>
      <c r="G135" s="158"/>
      <c r="H135" s="158"/>
    </row>
    <row r="136" spans="2:8" ht="20.25" customHeight="1">
      <c r="B136" s="157"/>
      <c r="C136" s="157"/>
      <c r="D136" s="158"/>
      <c r="E136" s="158"/>
      <c r="F136" s="158"/>
      <c r="G136" s="158"/>
      <c r="H136" s="158"/>
    </row>
    <row r="137" spans="2:8" ht="15.75" customHeight="1">
      <c r="B137" s="157"/>
      <c r="C137" s="157"/>
      <c r="D137" s="158"/>
      <c r="E137" s="158"/>
      <c r="F137" s="158"/>
      <c r="G137" s="158"/>
      <c r="H137" s="158"/>
    </row>
    <row r="138" spans="2:8" ht="18" customHeight="1">
      <c r="B138" s="157"/>
      <c r="C138" s="157"/>
      <c r="D138" s="158"/>
      <c r="E138" s="158"/>
      <c r="F138" s="158"/>
      <c r="G138" s="158"/>
      <c r="H138" s="158"/>
    </row>
    <row r="139" spans="2:8" ht="18.75" customHeight="1">
      <c r="B139" s="159"/>
      <c r="C139" s="159"/>
      <c r="D139" s="160"/>
      <c r="E139" s="160"/>
      <c r="F139" s="160"/>
      <c r="G139" s="160"/>
      <c r="H139" s="160"/>
    </row>
    <row r="140" spans="2:8" ht="29.25" customHeight="1">
      <c r="B140" s="157"/>
      <c r="C140" s="157"/>
      <c r="D140" s="158"/>
      <c r="E140" s="158"/>
      <c r="F140" s="158"/>
      <c r="G140" s="158"/>
      <c r="H140" s="158"/>
    </row>
    <row r="141" spans="2:8" ht="20.25" customHeight="1">
      <c r="B141" s="163"/>
      <c r="C141" s="163"/>
      <c r="D141" s="158"/>
      <c r="E141" s="158"/>
      <c r="F141" s="158"/>
      <c r="G141" s="158"/>
      <c r="H141" s="158"/>
    </row>
    <row r="142" spans="2:8" ht="19.5" customHeight="1">
      <c r="B142" s="164"/>
      <c r="C142" s="164"/>
      <c r="D142" s="158"/>
      <c r="E142" s="158"/>
      <c r="F142" s="158"/>
      <c r="G142" s="158"/>
      <c r="H142" s="158"/>
    </row>
    <row r="143" spans="2:8" ht="19.5" customHeight="1">
      <c r="B143" s="157"/>
      <c r="C143" s="157"/>
      <c r="D143" s="158"/>
      <c r="E143" s="158"/>
      <c r="F143" s="158"/>
      <c r="G143" s="158"/>
      <c r="H143" s="158"/>
    </row>
    <row r="144" spans="2:8" ht="18.75" customHeight="1">
      <c r="B144" s="162"/>
      <c r="C144" s="162"/>
      <c r="D144" s="158"/>
      <c r="E144" s="158"/>
      <c r="F144" s="158"/>
      <c r="G144" s="158"/>
      <c r="H144" s="158"/>
    </row>
    <row r="145" spans="2:8" ht="30.75" customHeight="1">
      <c r="B145" s="159"/>
      <c r="C145" s="159"/>
      <c r="D145" s="158"/>
      <c r="E145" s="158"/>
      <c r="F145" s="160"/>
      <c r="G145" s="160"/>
      <c r="H145" s="160"/>
    </row>
    <row r="146" spans="2:8" ht="39.75" customHeight="1">
      <c r="B146" s="157"/>
      <c r="C146" s="157"/>
      <c r="D146" s="158"/>
      <c r="E146" s="158"/>
      <c r="F146" s="158"/>
      <c r="G146" s="158"/>
      <c r="H146" s="158"/>
    </row>
    <row r="147" spans="2:8" ht="18.75" customHeight="1">
      <c r="B147" s="157"/>
      <c r="C147" s="157"/>
      <c r="D147" s="158"/>
      <c r="E147" s="158"/>
      <c r="F147" s="158"/>
      <c r="G147" s="158"/>
      <c r="H147" s="158"/>
    </row>
    <row r="148" spans="2:8" ht="18.75" customHeight="1">
      <c r="B148" s="157"/>
      <c r="C148" s="157"/>
      <c r="D148" s="158"/>
      <c r="E148" s="158"/>
      <c r="F148" s="158"/>
      <c r="G148" s="158"/>
      <c r="H148" s="158"/>
    </row>
    <row r="149" spans="2:8" ht="18" customHeight="1">
      <c r="B149" s="157"/>
      <c r="C149" s="157"/>
      <c r="D149" s="158"/>
      <c r="E149" s="158"/>
      <c r="F149" s="158"/>
      <c r="G149" s="158"/>
      <c r="H149" s="158"/>
    </row>
    <row r="150" spans="2:8" ht="21.75" customHeight="1">
      <c r="B150" s="157"/>
      <c r="C150" s="157"/>
      <c r="D150" s="158"/>
      <c r="E150" s="158"/>
      <c r="F150" s="158"/>
      <c r="G150" s="158"/>
      <c r="H150" s="158"/>
    </row>
    <row r="151" spans="2:8" ht="21.75" customHeight="1">
      <c r="B151" s="157"/>
      <c r="C151" s="157"/>
      <c r="D151" s="158"/>
      <c r="E151" s="158"/>
      <c r="F151" s="158"/>
      <c r="G151" s="158"/>
      <c r="H151" s="158"/>
    </row>
    <row r="152" spans="2:8" ht="21.75" customHeight="1">
      <c r="B152" s="157"/>
      <c r="C152" s="157"/>
      <c r="D152" s="158"/>
      <c r="E152" s="158"/>
      <c r="F152" s="158"/>
      <c r="G152" s="158"/>
      <c r="H152" s="158"/>
    </row>
    <row r="153" spans="2:8" ht="18.75" customHeight="1">
      <c r="B153" s="157"/>
      <c r="C153" s="157"/>
      <c r="D153" s="158"/>
      <c r="E153" s="158"/>
      <c r="F153" s="158"/>
      <c r="G153" s="158"/>
      <c r="H153" s="158"/>
    </row>
    <row r="154" spans="2:8" ht="18.75" customHeight="1">
      <c r="B154" s="157"/>
      <c r="C154" s="157"/>
      <c r="D154" s="158"/>
      <c r="E154" s="158"/>
      <c r="F154" s="158"/>
      <c r="G154" s="158"/>
      <c r="H154" s="158"/>
    </row>
    <row r="155" spans="2:8" ht="44.25" customHeight="1">
      <c r="B155" s="159"/>
      <c r="C155" s="159"/>
      <c r="D155" s="160"/>
      <c r="E155" s="160"/>
      <c r="F155" s="160"/>
      <c r="G155" s="160"/>
      <c r="H155" s="160"/>
    </row>
    <row r="156" spans="2:8" ht="18.75" customHeight="1">
      <c r="B156" s="157"/>
      <c r="C156" s="157"/>
      <c r="D156" s="158"/>
      <c r="E156" s="158"/>
      <c r="F156" s="158"/>
      <c r="G156" s="158"/>
      <c r="H156" s="158"/>
    </row>
    <row r="157" spans="2:8" ht="18.75" customHeight="1">
      <c r="B157" s="157"/>
      <c r="C157" s="157"/>
      <c r="D157" s="158"/>
      <c r="E157" s="158"/>
      <c r="F157" s="158"/>
      <c r="G157" s="158"/>
      <c r="H157" s="158"/>
    </row>
    <row r="158" ht="28.5" customHeight="1"/>
    <row r="159" ht="28.5" customHeight="1"/>
    <row r="160" ht="28.5" customHeight="1"/>
    <row r="161" ht="28.5" customHeight="1"/>
    <row r="162" ht="18" customHeight="1"/>
    <row r="163" spans="2:8" ht="18" customHeight="1">
      <c r="B163" s="157"/>
      <c r="C163" s="157"/>
      <c r="D163" s="158"/>
      <c r="E163" s="158"/>
      <c r="F163" s="158"/>
      <c r="G163" s="158"/>
      <c r="H163" s="60"/>
    </row>
    <row r="164" spans="2:8" ht="18" customHeight="1">
      <c r="B164" s="157"/>
      <c r="C164" s="157"/>
      <c r="D164" s="158"/>
      <c r="E164" s="158"/>
      <c r="F164" s="158"/>
      <c r="G164" s="158"/>
      <c r="H164" s="60"/>
    </row>
    <row r="165" spans="2:8" ht="18" customHeight="1">
      <c r="B165" s="157"/>
      <c r="C165" s="157"/>
      <c r="D165" s="158"/>
      <c r="E165" s="158"/>
      <c r="F165" s="158"/>
      <c r="G165" s="158"/>
      <c r="H165" s="60"/>
    </row>
    <row r="166" spans="2:8" ht="32.25" customHeight="1">
      <c r="B166" s="159"/>
      <c r="C166" s="159"/>
      <c r="D166" s="160"/>
      <c r="E166" s="160"/>
      <c r="F166" s="160"/>
      <c r="G166" s="160"/>
      <c r="H166" s="160"/>
    </row>
    <row r="167" spans="2:8" ht="15">
      <c r="B167" s="159"/>
      <c r="C167" s="159"/>
      <c r="D167" s="160"/>
      <c r="E167" s="160"/>
      <c r="F167" s="160"/>
      <c r="G167" s="160"/>
      <c r="H167" s="160"/>
    </row>
    <row r="168" spans="2:8" ht="32.25" customHeight="1">
      <c r="B168" s="165"/>
      <c r="C168" s="165"/>
      <c r="D168" s="166"/>
      <c r="E168" s="166"/>
      <c r="F168" s="166"/>
      <c r="G168" s="166"/>
      <c r="H168" s="166"/>
    </row>
    <row r="169" spans="2:8" ht="15">
      <c r="B169" s="157"/>
      <c r="C169" s="157"/>
      <c r="D169" s="158"/>
      <c r="E169" s="158"/>
      <c r="F169" s="158"/>
      <c r="G169" s="158"/>
      <c r="H169" s="158"/>
    </row>
    <row r="170" spans="2:8" ht="30" customHeight="1">
      <c r="B170" s="157"/>
      <c r="C170" s="157"/>
      <c r="D170" s="158"/>
      <c r="E170" s="158"/>
      <c r="F170" s="158"/>
      <c r="G170" s="158"/>
      <c r="H170" s="158"/>
    </row>
    <row r="171" spans="2:8" ht="15">
      <c r="B171" s="167"/>
      <c r="C171" s="167"/>
      <c r="D171" s="158"/>
      <c r="E171" s="158"/>
      <c r="F171" s="158"/>
      <c r="G171" s="158"/>
      <c r="H171" s="158"/>
    </row>
    <row r="172" spans="2:8" ht="15" customHeight="1">
      <c r="B172" s="157"/>
      <c r="C172" s="157"/>
      <c r="D172" s="158"/>
      <c r="E172" s="158"/>
      <c r="F172" s="158"/>
      <c r="G172" s="158"/>
      <c r="H172" s="60"/>
    </row>
    <row r="173" spans="2:8" ht="15" customHeight="1">
      <c r="B173" s="157"/>
      <c r="C173" s="157"/>
      <c r="D173" s="158"/>
      <c r="E173" s="158"/>
      <c r="F173" s="158"/>
      <c r="G173" s="158"/>
      <c r="H173" s="60"/>
    </row>
    <row r="174" spans="2:8" ht="15" customHeight="1">
      <c r="B174" s="157"/>
      <c r="C174" s="157"/>
      <c r="D174" s="158"/>
      <c r="E174" s="158"/>
      <c r="F174" s="158"/>
      <c r="G174" s="158"/>
      <c r="H174" s="60"/>
    </row>
    <row r="175" spans="2:8" ht="15">
      <c r="B175" s="157"/>
      <c r="C175" s="157"/>
      <c r="D175" s="158"/>
      <c r="E175" s="158"/>
      <c r="F175" s="158"/>
      <c r="G175" s="158"/>
      <c r="H175" s="60"/>
    </row>
    <row r="176" spans="2:8" ht="15">
      <c r="B176" s="157"/>
      <c r="C176" s="157"/>
      <c r="D176" s="158"/>
      <c r="E176" s="158"/>
      <c r="F176" s="158"/>
      <c r="G176" s="158"/>
      <c r="H176" s="60"/>
    </row>
    <row r="177" spans="2:8" ht="15">
      <c r="B177" s="157"/>
      <c r="C177" s="157"/>
      <c r="D177" s="158"/>
      <c r="E177" s="158"/>
      <c r="F177" s="158"/>
      <c r="G177" s="158"/>
      <c r="H177" s="60"/>
    </row>
    <row r="178" spans="2:8" ht="15">
      <c r="B178" s="157"/>
      <c r="C178" s="157"/>
      <c r="D178" s="158"/>
      <c r="E178" s="158"/>
      <c r="F178" s="158"/>
      <c r="G178" s="158"/>
      <c r="H178" s="60"/>
    </row>
    <row r="179" spans="2:8" ht="15">
      <c r="B179" s="157"/>
      <c r="C179" s="157"/>
      <c r="D179" s="158"/>
      <c r="E179" s="158"/>
      <c r="F179" s="158"/>
      <c r="G179" s="158"/>
      <c r="H179" s="60"/>
    </row>
    <row r="180" spans="2:8" ht="15">
      <c r="B180" s="157"/>
      <c r="C180" s="157"/>
      <c r="D180" s="158"/>
      <c r="E180" s="158"/>
      <c r="F180" s="158"/>
      <c r="G180" s="158"/>
      <c r="H180" s="60"/>
    </row>
    <row r="181" spans="2:8" ht="15">
      <c r="B181" s="157"/>
      <c r="C181" s="157"/>
      <c r="D181" s="158"/>
      <c r="E181" s="158"/>
      <c r="F181" s="158"/>
      <c r="G181" s="158"/>
      <c r="H181" s="60"/>
    </row>
    <row r="182" spans="2:8" ht="15">
      <c r="B182" s="157"/>
      <c r="C182" s="157"/>
      <c r="D182" s="158"/>
      <c r="E182" s="158"/>
      <c r="F182" s="158"/>
      <c r="G182" s="158"/>
      <c r="H182" s="60"/>
    </row>
    <row r="183" spans="2:8" ht="14.25" customHeight="1">
      <c r="B183" s="157"/>
      <c r="C183" s="157"/>
      <c r="D183" s="158"/>
      <c r="E183" s="158"/>
      <c r="F183" s="158"/>
      <c r="G183" s="158"/>
      <c r="H183" s="60"/>
    </row>
    <row r="184" ht="21.75" customHeight="1"/>
    <row r="185" ht="24.75" customHeight="1"/>
    <row r="186" ht="40.5" customHeight="1"/>
    <row r="187" ht="23.25" customHeight="1"/>
    <row r="188" ht="45" customHeight="1"/>
    <row r="189" ht="21.75" customHeight="1"/>
    <row r="190" ht="23.25" customHeight="1"/>
    <row r="192" ht="18" customHeight="1"/>
    <row r="193" spans="2:8" ht="78" customHeight="1">
      <c r="B193" s="157"/>
      <c r="C193" s="157"/>
      <c r="D193" s="158"/>
      <c r="E193" s="158"/>
      <c r="F193" s="158"/>
      <c r="G193" s="158"/>
      <c r="H193" s="158"/>
    </row>
    <row r="194" spans="2:8" ht="15">
      <c r="B194" s="157"/>
      <c r="C194" s="157"/>
      <c r="D194" s="158"/>
      <c r="E194" s="158"/>
      <c r="F194" s="158"/>
      <c r="G194" s="158"/>
      <c r="H194" s="60"/>
    </row>
    <row r="195" spans="2:8" ht="15">
      <c r="B195" s="157"/>
      <c r="C195" s="157"/>
      <c r="D195" s="158"/>
      <c r="E195" s="158"/>
      <c r="F195" s="158"/>
      <c r="G195" s="158"/>
      <c r="H195" s="60"/>
    </row>
    <row r="196" spans="2:8" ht="15">
      <c r="B196" s="157"/>
      <c r="C196" s="157"/>
      <c r="D196" s="158"/>
      <c r="E196" s="158"/>
      <c r="F196" s="158"/>
      <c r="G196" s="158"/>
      <c r="H196" s="60"/>
    </row>
    <row r="197" spans="2:8" ht="15">
      <c r="B197" s="157"/>
      <c r="C197" s="157"/>
      <c r="D197" s="158"/>
      <c r="E197" s="158"/>
      <c r="F197" s="158"/>
      <c r="G197" s="158"/>
      <c r="H197" s="60"/>
    </row>
    <row r="198" spans="2:8" ht="15">
      <c r="B198" s="157"/>
      <c r="C198" s="157"/>
      <c r="D198" s="158"/>
      <c r="E198" s="158"/>
      <c r="F198" s="158"/>
      <c r="G198" s="158"/>
      <c r="H198" s="60"/>
    </row>
    <row r="199" spans="2:8" ht="15">
      <c r="B199" s="157"/>
      <c r="C199" s="157"/>
      <c r="D199" s="158"/>
      <c r="E199" s="158"/>
      <c r="F199" s="158"/>
      <c r="G199" s="158"/>
      <c r="H199" s="60"/>
    </row>
    <row r="200" spans="2:8" ht="15">
      <c r="B200" s="157"/>
      <c r="C200" s="157"/>
      <c r="D200" s="158"/>
      <c r="E200" s="158"/>
      <c r="F200" s="158"/>
      <c r="G200" s="158"/>
      <c r="H200" s="60"/>
    </row>
    <row r="201" spans="2:8" ht="15">
      <c r="B201" s="157"/>
      <c r="C201" s="157"/>
      <c r="D201" s="158"/>
      <c r="E201" s="158"/>
      <c r="F201" s="158"/>
      <c r="G201" s="158"/>
      <c r="H201" s="60"/>
    </row>
    <row r="202" spans="2:8" ht="15">
      <c r="B202" s="157"/>
      <c r="C202" s="157"/>
      <c r="D202" s="158"/>
      <c r="E202" s="158"/>
      <c r="F202" s="158"/>
      <c r="G202" s="158"/>
      <c r="H202" s="60"/>
    </row>
    <row r="203" spans="2:8" ht="15.75" customHeight="1">
      <c r="B203" s="157"/>
      <c r="C203" s="157"/>
      <c r="D203" s="158"/>
      <c r="E203" s="158"/>
      <c r="F203" s="158"/>
      <c r="G203" s="158"/>
      <c r="H203" s="60"/>
    </row>
    <row r="204" spans="2:8" ht="15">
      <c r="B204" s="157"/>
      <c r="C204" s="157"/>
      <c r="D204" s="158"/>
      <c r="E204" s="158"/>
      <c r="F204" s="158"/>
      <c r="G204" s="158"/>
      <c r="H204" s="60"/>
    </row>
    <row r="205" spans="2:8" ht="15">
      <c r="B205" s="159"/>
      <c r="C205" s="159"/>
      <c r="D205" s="160"/>
      <c r="E205" s="160"/>
      <c r="F205" s="168"/>
      <c r="G205" s="168"/>
      <c r="H205" s="168"/>
    </row>
    <row r="206" spans="2:8" ht="15">
      <c r="B206" s="159"/>
      <c r="C206" s="159"/>
      <c r="D206" s="160"/>
      <c r="E206" s="160"/>
      <c r="F206" s="160"/>
      <c r="G206" s="160"/>
      <c r="H206" s="160"/>
    </row>
    <row r="207" spans="2:8" ht="32.25" customHeight="1">
      <c r="B207" s="162"/>
      <c r="C207" s="162"/>
      <c r="D207" s="166"/>
      <c r="E207" s="166"/>
      <c r="F207" s="166"/>
      <c r="G207" s="166"/>
      <c r="H207" s="166"/>
    </row>
    <row r="208" spans="2:8" ht="15">
      <c r="B208" s="157"/>
      <c r="C208" s="157"/>
      <c r="D208" s="158"/>
      <c r="E208" s="158"/>
      <c r="F208" s="158"/>
      <c r="G208" s="158"/>
      <c r="H208" s="158"/>
    </row>
    <row r="209" spans="2:8" ht="15">
      <c r="B209" s="157"/>
      <c r="C209" s="157"/>
      <c r="D209" s="158"/>
      <c r="E209" s="158"/>
      <c r="F209" s="158"/>
      <c r="G209" s="158"/>
      <c r="H209" s="158"/>
    </row>
    <row r="210" spans="2:8" ht="15">
      <c r="B210" s="157"/>
      <c r="C210" s="157"/>
      <c r="D210" s="158"/>
      <c r="E210" s="158"/>
      <c r="F210" s="158"/>
      <c r="G210" s="158"/>
      <c r="H210" s="158"/>
    </row>
    <row r="211" spans="2:8" ht="15">
      <c r="B211" s="157"/>
      <c r="C211" s="157"/>
      <c r="D211" s="158"/>
      <c r="E211" s="158"/>
      <c r="F211" s="158"/>
      <c r="G211" s="158"/>
      <c r="H211" s="158"/>
    </row>
    <row r="212" spans="2:8" ht="15">
      <c r="B212" s="157"/>
      <c r="C212" s="157"/>
      <c r="D212" s="158"/>
      <c r="E212" s="158"/>
      <c r="F212" s="158"/>
      <c r="G212" s="158"/>
      <c r="H212" s="158"/>
    </row>
    <row r="213" spans="2:8" ht="15">
      <c r="B213" s="157"/>
      <c r="C213" s="157"/>
      <c r="D213" s="158"/>
      <c r="E213" s="158"/>
      <c r="F213" s="158"/>
      <c r="G213" s="158"/>
      <c r="H213" s="158"/>
    </row>
    <row r="214" spans="2:8" ht="15">
      <c r="B214" s="157"/>
      <c r="C214" s="157"/>
      <c r="D214" s="158"/>
      <c r="E214" s="158"/>
      <c r="F214" s="158"/>
      <c r="G214" s="158"/>
      <c r="H214" s="158"/>
    </row>
    <row r="215" spans="2:8" ht="15">
      <c r="B215" s="157"/>
      <c r="C215" s="157"/>
      <c r="D215" s="158"/>
      <c r="E215" s="158"/>
      <c r="F215" s="158"/>
      <c r="G215" s="158"/>
      <c r="H215" s="158"/>
    </row>
    <row r="216" spans="2:8" ht="15">
      <c r="B216" s="157"/>
      <c r="C216" s="157"/>
      <c r="D216" s="158"/>
      <c r="E216" s="158"/>
      <c r="F216" s="158"/>
      <c r="G216" s="158"/>
      <c r="H216" s="158"/>
    </row>
    <row r="217" spans="2:8" ht="15">
      <c r="B217" s="157"/>
      <c r="C217" s="157"/>
      <c r="D217" s="158"/>
      <c r="E217" s="158"/>
      <c r="F217" s="158"/>
      <c r="G217" s="158"/>
      <c r="H217" s="158"/>
    </row>
    <row r="218" spans="2:8" ht="15">
      <c r="B218" s="159"/>
      <c r="C218" s="159"/>
      <c r="D218" s="160"/>
      <c r="E218" s="160"/>
      <c r="F218" s="160"/>
      <c r="G218" s="160"/>
      <c r="H218" s="59"/>
    </row>
    <row r="219" spans="2:8" ht="15">
      <c r="B219" s="157"/>
      <c r="C219" s="157"/>
      <c r="D219" s="158"/>
      <c r="E219" s="158"/>
      <c r="F219" s="158"/>
      <c r="G219" s="158"/>
      <c r="H219" s="60"/>
    </row>
    <row r="220" spans="2:8" ht="15">
      <c r="B220" s="157"/>
      <c r="C220" s="157"/>
      <c r="D220" s="158"/>
      <c r="E220" s="158"/>
      <c r="F220" s="158"/>
      <c r="G220" s="158"/>
      <c r="H220" s="60"/>
    </row>
    <row r="221" spans="2:8" ht="16.5" customHeight="1">
      <c r="B221" s="157"/>
      <c r="C221" s="157"/>
      <c r="D221" s="158"/>
      <c r="E221" s="158"/>
      <c r="F221" s="158"/>
      <c r="G221" s="158"/>
      <c r="H221" s="60"/>
    </row>
    <row r="222" spans="2:8" ht="14.25" customHeight="1">
      <c r="B222" s="157"/>
      <c r="C222" s="157"/>
      <c r="D222" s="158"/>
      <c r="E222" s="158"/>
      <c r="F222" s="158"/>
      <c r="G222" s="158"/>
      <c r="H222" s="60"/>
    </row>
    <row r="223" spans="2:8" ht="14.25" customHeight="1">
      <c r="B223" s="159"/>
      <c r="C223" s="159"/>
      <c r="D223" s="160"/>
      <c r="E223" s="160"/>
      <c r="F223" s="160"/>
      <c r="G223" s="160"/>
      <c r="H223" s="160"/>
    </row>
    <row r="224" spans="4:8" ht="15">
      <c r="D224" s="63"/>
      <c r="E224" s="160"/>
      <c r="F224" s="160"/>
      <c r="G224" s="160"/>
      <c r="H224" s="160"/>
    </row>
    <row r="225" spans="4:8" ht="16.5" customHeight="1">
      <c r="D225" s="197"/>
      <c r="E225" s="198"/>
      <c r="F225" s="197"/>
      <c r="G225" s="197"/>
      <c r="H225" s="198"/>
    </row>
    <row r="226" spans="4:8" ht="15">
      <c r="D226" s="197"/>
      <c r="E226" s="198"/>
      <c r="F226" s="197"/>
      <c r="G226" s="197"/>
      <c r="H226" s="198"/>
    </row>
    <row r="227" spans="4:8" ht="15">
      <c r="D227" s="197"/>
      <c r="E227" s="198"/>
      <c r="F227" s="197"/>
      <c r="G227" s="197"/>
      <c r="H227" s="198"/>
    </row>
    <row r="228" spans="4:8" ht="15">
      <c r="D228" s="197"/>
      <c r="E228" s="198"/>
      <c r="F228" s="197"/>
      <c r="G228" s="197"/>
      <c r="H228" s="198"/>
    </row>
    <row r="229" ht="15">
      <c r="E229" s="158"/>
    </row>
    <row r="230" ht="15">
      <c r="E230" s="158"/>
    </row>
  </sheetData>
  <sheetProtection/>
  <mergeCells count="87">
    <mergeCell ref="D80:H80"/>
    <mergeCell ref="D81:H81"/>
    <mergeCell ref="D82:H82"/>
    <mergeCell ref="D83:H83"/>
    <mergeCell ref="D225:D228"/>
    <mergeCell ref="E225:E228"/>
    <mergeCell ref="F225:F228"/>
    <mergeCell ref="G225:G228"/>
    <mergeCell ref="H225:H228"/>
    <mergeCell ref="D75:H75"/>
    <mergeCell ref="D76:H76"/>
    <mergeCell ref="D77:H77"/>
    <mergeCell ref="D78:H78"/>
    <mergeCell ref="D79:H79"/>
    <mergeCell ref="D47:H47"/>
    <mergeCell ref="D70:H70"/>
    <mergeCell ref="D71:H71"/>
    <mergeCell ref="D72:H72"/>
    <mergeCell ref="D73:H73"/>
    <mergeCell ref="D61:H61"/>
    <mergeCell ref="D62:H62"/>
    <mergeCell ref="D74:H74"/>
    <mergeCell ref="D65:H65"/>
    <mergeCell ref="D66:H66"/>
    <mergeCell ref="D67:H67"/>
    <mergeCell ref="D68:H68"/>
    <mergeCell ref="D69:H69"/>
    <mergeCell ref="D63:H63"/>
    <mergeCell ref="D64:H64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44:H44"/>
    <mergeCell ref="D45:H45"/>
    <mergeCell ref="D48:H48"/>
    <mergeCell ref="D49:H49"/>
    <mergeCell ref="D50:H50"/>
    <mergeCell ref="D51:H51"/>
    <mergeCell ref="D46:H46"/>
    <mergeCell ref="D38:H38"/>
    <mergeCell ref="D39:H39"/>
    <mergeCell ref="D40:H40"/>
    <mergeCell ref="D41:H41"/>
    <mergeCell ref="D42:H42"/>
    <mergeCell ref="D43:H43"/>
    <mergeCell ref="D32:H32"/>
    <mergeCell ref="D33:H33"/>
    <mergeCell ref="D34:H34"/>
    <mergeCell ref="D35:H35"/>
    <mergeCell ref="D36:H36"/>
    <mergeCell ref="D37:H37"/>
    <mergeCell ref="D26:H26"/>
    <mergeCell ref="D27:H27"/>
    <mergeCell ref="D28:H28"/>
    <mergeCell ref="D29:H29"/>
    <mergeCell ref="D30:H30"/>
    <mergeCell ref="D31:H31"/>
    <mergeCell ref="D20:H20"/>
    <mergeCell ref="D21:H21"/>
    <mergeCell ref="D22:H22"/>
    <mergeCell ref="D23:H23"/>
    <mergeCell ref="D24:H24"/>
    <mergeCell ref="D25:H25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C1:I1"/>
    <mergeCell ref="B2:I2"/>
    <mergeCell ref="D4:H4"/>
    <mergeCell ref="D5:H5"/>
    <mergeCell ref="D6:H6"/>
    <mergeCell ref="D7:H7"/>
  </mergeCells>
  <printOptions/>
  <pageMargins left="0.3937007874015748" right="0.1968503937007874" top="0.5905511811023623" bottom="0.1968503937007874" header="0.31496062992125984" footer="0.31496062992125984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="60" zoomScalePageLayoutView="0" workbookViewId="0" topLeftCell="A7">
      <selection activeCell="L18" sqref="L18"/>
    </sheetView>
  </sheetViews>
  <sheetFormatPr defaultColWidth="9.00390625" defaultRowHeight="12.75"/>
  <cols>
    <col min="1" max="1" width="48.125" style="113" customWidth="1"/>
    <col min="2" max="2" width="31.75390625" style="113" customWidth="1"/>
    <col min="3" max="3" width="15.375" style="56" customWidth="1"/>
    <col min="4" max="4" width="13.25390625" style="56" customWidth="1"/>
    <col min="5" max="16384" width="9.125" style="66" customWidth="1"/>
  </cols>
  <sheetData>
    <row r="1" spans="1:7" s="1" customFormat="1" ht="12.75">
      <c r="A1" s="211" t="s">
        <v>284</v>
      </c>
      <c r="B1" s="211"/>
      <c r="C1" s="211"/>
      <c r="D1" s="211"/>
      <c r="F1" s="211"/>
      <c r="G1" s="211"/>
    </row>
    <row r="2" spans="1:7" s="1" customFormat="1" ht="12.75">
      <c r="A2" s="211" t="s">
        <v>147</v>
      </c>
      <c r="B2" s="211"/>
      <c r="C2" s="211"/>
      <c r="D2" s="211"/>
      <c r="F2" s="211"/>
      <c r="G2" s="211"/>
    </row>
    <row r="3" spans="1:7" s="1" customFormat="1" ht="12.75">
      <c r="A3" s="211" t="s">
        <v>148</v>
      </c>
      <c r="B3" s="211"/>
      <c r="C3" s="211"/>
      <c r="D3" s="211"/>
      <c r="F3" s="211"/>
      <c r="G3" s="211"/>
    </row>
    <row r="4" spans="1:7" s="1" customFormat="1" ht="12.75">
      <c r="A4" s="211" t="s">
        <v>282</v>
      </c>
      <c r="B4" s="211"/>
      <c r="C4" s="211"/>
      <c r="D4" s="211"/>
      <c r="F4" s="211"/>
      <c r="G4" s="211"/>
    </row>
    <row r="5" spans="1:7" s="1" customFormat="1" ht="12.75">
      <c r="A5" s="211" t="s">
        <v>501</v>
      </c>
      <c r="B5" s="211"/>
      <c r="C5" s="211"/>
      <c r="D5" s="211"/>
      <c r="F5" s="212"/>
      <c r="G5" s="212"/>
    </row>
    <row r="6" spans="1:7" s="1" customFormat="1" ht="12.75">
      <c r="A6" s="211" t="s">
        <v>483</v>
      </c>
      <c r="B6" s="211"/>
      <c r="C6" s="211"/>
      <c r="D6" s="211"/>
      <c r="F6" s="213"/>
      <c r="G6" s="213"/>
    </row>
    <row r="7" spans="1:4" ht="18.75" customHeight="1">
      <c r="A7" s="207" t="s">
        <v>505</v>
      </c>
      <c r="B7" s="207"/>
      <c r="C7" s="207"/>
      <c r="D7" s="207"/>
    </row>
    <row r="8" spans="1:4" ht="16.5" customHeight="1">
      <c r="A8" s="207"/>
      <c r="B8" s="207"/>
      <c r="C8" s="207"/>
      <c r="D8" s="207"/>
    </row>
    <row r="9" ht="15">
      <c r="C9" s="128" t="s">
        <v>326</v>
      </c>
    </row>
    <row r="10" spans="1:4" s="113" customFormat="1" ht="30">
      <c r="A10" s="129" t="s">
        <v>506</v>
      </c>
      <c r="B10" s="129" t="s">
        <v>110</v>
      </c>
      <c r="C10" s="17" t="s">
        <v>313</v>
      </c>
      <c r="D10" s="17" t="s">
        <v>487</v>
      </c>
    </row>
    <row r="11" spans="1:4" ht="30">
      <c r="A11" s="8" t="s">
        <v>111</v>
      </c>
      <c r="B11" s="8" t="s">
        <v>112</v>
      </c>
      <c r="C11" s="35">
        <v>9180.26</v>
      </c>
      <c r="D11" s="35">
        <v>9391.55</v>
      </c>
    </row>
    <row r="12" spans="1:4" ht="30">
      <c r="A12" s="8" t="s">
        <v>113</v>
      </c>
      <c r="B12" s="8" t="s">
        <v>114</v>
      </c>
      <c r="C12" s="35">
        <v>10153.46</v>
      </c>
      <c r="D12" s="35">
        <v>9391.55</v>
      </c>
    </row>
    <row r="13" spans="1:4" ht="30">
      <c r="A13" s="8" t="s">
        <v>115</v>
      </c>
      <c r="B13" s="8" t="s">
        <v>116</v>
      </c>
      <c r="C13" s="35">
        <v>10153.46</v>
      </c>
      <c r="D13" s="35">
        <v>9391.55</v>
      </c>
    </row>
    <row r="14" spans="1:4" ht="45">
      <c r="A14" s="8" t="s">
        <v>117</v>
      </c>
      <c r="B14" s="8" t="s">
        <v>118</v>
      </c>
      <c r="C14" s="35">
        <v>10153.46</v>
      </c>
      <c r="D14" s="35">
        <v>9391.55</v>
      </c>
    </row>
    <row r="15" spans="1:4" ht="45">
      <c r="A15" s="8" t="s">
        <v>119</v>
      </c>
      <c r="B15" s="8" t="s">
        <v>120</v>
      </c>
      <c r="C15" s="35">
        <v>0</v>
      </c>
      <c r="D15" s="35">
        <v>0</v>
      </c>
    </row>
    <row r="16" spans="1:4" ht="45">
      <c r="A16" s="8" t="s">
        <v>121</v>
      </c>
      <c r="B16" s="8" t="s">
        <v>122</v>
      </c>
      <c r="C16" s="35">
        <v>0</v>
      </c>
      <c r="D16" s="35">
        <v>0</v>
      </c>
    </row>
    <row r="17" spans="1:4" ht="30">
      <c r="A17" s="8" t="s">
        <v>123</v>
      </c>
      <c r="B17" s="8" t="s">
        <v>124</v>
      </c>
      <c r="C17" s="35">
        <v>-973.2</v>
      </c>
      <c r="D17" s="35">
        <v>0</v>
      </c>
    </row>
    <row r="18" spans="1:4" ht="45">
      <c r="A18" s="8" t="s">
        <v>125</v>
      </c>
      <c r="B18" s="8" t="s">
        <v>126</v>
      </c>
      <c r="C18" s="35">
        <v>0</v>
      </c>
      <c r="D18" s="35">
        <v>0</v>
      </c>
    </row>
    <row r="19" spans="1:4" ht="60">
      <c r="A19" s="8" t="s">
        <v>127</v>
      </c>
      <c r="B19" s="8" t="s">
        <v>128</v>
      </c>
      <c r="C19" s="35">
        <v>0</v>
      </c>
      <c r="D19" s="35">
        <v>0</v>
      </c>
    </row>
    <row r="20" spans="1:4" ht="60">
      <c r="A20" s="8" t="s">
        <v>129</v>
      </c>
      <c r="B20" s="8" t="s">
        <v>130</v>
      </c>
      <c r="C20" s="35">
        <v>-973.2</v>
      </c>
      <c r="D20" s="35">
        <v>0</v>
      </c>
    </row>
    <row r="21" spans="1:4" ht="60">
      <c r="A21" s="8" t="s">
        <v>131</v>
      </c>
      <c r="B21" s="8" t="s">
        <v>132</v>
      </c>
      <c r="C21" s="35">
        <v>-973.2</v>
      </c>
      <c r="D21" s="35">
        <v>0</v>
      </c>
    </row>
    <row r="22" spans="1:4" ht="27.75" customHeight="1">
      <c r="A22" s="8" t="s">
        <v>133</v>
      </c>
      <c r="B22" s="8" t="s">
        <v>134</v>
      </c>
      <c r="C22" s="35">
        <f>C26+C23</f>
        <v>0</v>
      </c>
      <c r="D22" s="35">
        <f>D26+D23</f>
        <v>0</v>
      </c>
    </row>
    <row r="23" spans="1:4" ht="27.75" customHeight="1">
      <c r="A23" s="8" t="s">
        <v>135</v>
      </c>
      <c r="B23" s="8" t="s">
        <v>136</v>
      </c>
      <c r="C23" s="35">
        <f>-226672.7-C12</f>
        <v>-236826.16</v>
      </c>
      <c r="D23" s="35">
        <f>-220342.2-D12</f>
        <v>-229733.75</v>
      </c>
    </row>
    <row r="24" spans="1:4" ht="27.75" customHeight="1">
      <c r="A24" s="8" t="s">
        <v>137</v>
      </c>
      <c r="B24" s="8" t="s">
        <v>138</v>
      </c>
      <c r="C24" s="35">
        <f>-226672.7-C12</f>
        <v>-236826.16</v>
      </c>
      <c r="D24" s="35">
        <f>-220342.2-D12</f>
        <v>-229733.75</v>
      </c>
    </row>
    <row r="25" spans="1:4" ht="27.75" customHeight="1">
      <c r="A25" s="8" t="s">
        <v>139</v>
      </c>
      <c r="B25" s="8" t="s">
        <v>140</v>
      </c>
      <c r="C25" s="35">
        <f>-226672.7-C12</f>
        <v>-236826.16</v>
      </c>
      <c r="D25" s="35">
        <f>-220342.2-D12</f>
        <v>-229733.75</v>
      </c>
    </row>
    <row r="26" spans="1:4" ht="27.75" customHeight="1">
      <c r="A26" s="8" t="s">
        <v>141</v>
      </c>
      <c r="B26" s="8" t="s">
        <v>142</v>
      </c>
      <c r="C26" s="35">
        <f>235852.96-C17</f>
        <v>236826.16</v>
      </c>
      <c r="D26" s="35">
        <f>229733.75-D17</f>
        <v>229733.75</v>
      </c>
    </row>
    <row r="27" spans="1:4" ht="27.75" customHeight="1">
      <c r="A27" s="8" t="s">
        <v>143</v>
      </c>
      <c r="B27" s="8" t="s">
        <v>144</v>
      </c>
      <c r="C27" s="35">
        <f>235852.96-C17</f>
        <v>236826.16</v>
      </c>
      <c r="D27" s="35">
        <f>229733.75-D17</f>
        <v>229733.75</v>
      </c>
    </row>
    <row r="28" spans="1:4" ht="27.75" customHeight="1">
      <c r="A28" s="8" t="s">
        <v>145</v>
      </c>
      <c r="B28" s="8" t="s">
        <v>146</v>
      </c>
      <c r="C28" s="35">
        <f>235852.96-C17</f>
        <v>236826.16</v>
      </c>
      <c r="D28" s="35">
        <f>229733.75-D17</f>
        <v>229733.75</v>
      </c>
    </row>
    <row r="29" spans="1:3" ht="15">
      <c r="A29" s="130"/>
      <c r="B29" s="130"/>
      <c r="C29" s="22"/>
    </row>
    <row r="30" ht="15">
      <c r="C30" s="55"/>
    </row>
    <row r="31" ht="15">
      <c r="C31" s="55"/>
    </row>
    <row r="34" ht="15">
      <c r="C34" s="55"/>
    </row>
    <row r="35" ht="15">
      <c r="C35" s="55"/>
    </row>
  </sheetData>
  <sheetProtection/>
  <mergeCells count="13">
    <mergeCell ref="A7:D8"/>
    <mergeCell ref="A5:D5"/>
    <mergeCell ref="A6:D6"/>
    <mergeCell ref="A1:D1"/>
    <mergeCell ref="F4:G4"/>
    <mergeCell ref="F5:G5"/>
    <mergeCell ref="F6:G6"/>
    <mergeCell ref="F1:G1"/>
    <mergeCell ref="F2:G2"/>
    <mergeCell ref="F3:G3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BreakPreview" zoomScale="60" zoomScalePageLayoutView="0" workbookViewId="0" topLeftCell="A1">
      <selection activeCell="B19" sqref="B19"/>
    </sheetView>
  </sheetViews>
  <sheetFormatPr defaultColWidth="9.00390625" defaultRowHeight="12.75"/>
  <cols>
    <col min="1" max="1" width="49.625" style="113" customWidth="1"/>
    <col min="2" max="2" width="25.25390625" style="113" customWidth="1"/>
    <col min="3" max="3" width="18.375" style="66" hidden="1" customWidth="1"/>
    <col min="4" max="4" width="16.75390625" style="66" hidden="1" customWidth="1"/>
    <col min="5" max="5" width="14.75390625" style="66" customWidth="1"/>
    <col min="6" max="16384" width="9.125" style="66" customWidth="1"/>
  </cols>
  <sheetData>
    <row r="1" spans="1:5" s="11" customFormat="1" ht="15" customHeight="1">
      <c r="A1" s="15"/>
      <c r="B1" s="38" t="s">
        <v>339</v>
      </c>
      <c r="C1" s="38"/>
      <c r="D1" s="38"/>
      <c r="E1" s="29"/>
    </row>
    <row r="2" spans="1:5" s="1" customFormat="1" ht="12.75">
      <c r="A2" s="216" t="s">
        <v>300</v>
      </c>
      <c r="B2" s="216"/>
      <c r="C2" s="216"/>
      <c r="D2" s="216"/>
      <c r="E2" s="139"/>
    </row>
    <row r="3" spans="1:5" s="1" customFormat="1" ht="12.75">
      <c r="A3" s="215" t="s">
        <v>340</v>
      </c>
      <c r="B3" s="215"/>
      <c r="C3" s="215"/>
      <c r="D3" s="215"/>
      <c r="E3" s="139"/>
    </row>
    <row r="4" spans="1:5" s="1" customFormat="1" ht="12.75">
      <c r="A4" s="216" t="s">
        <v>341</v>
      </c>
      <c r="B4" s="216"/>
      <c r="C4" s="40"/>
      <c r="D4" s="40"/>
      <c r="E4" s="139"/>
    </row>
    <row r="5" spans="1:5" s="1" customFormat="1" ht="12.75">
      <c r="A5" s="216" t="s">
        <v>342</v>
      </c>
      <c r="B5" s="216"/>
      <c r="C5" s="40"/>
      <c r="D5" s="40"/>
      <c r="E5" s="139"/>
    </row>
    <row r="6" spans="1:5" s="1" customFormat="1" ht="12.75">
      <c r="A6" s="215" t="s">
        <v>337</v>
      </c>
      <c r="B6" s="215"/>
      <c r="C6" s="215"/>
      <c r="D6" s="215"/>
      <c r="E6" s="139"/>
    </row>
    <row r="7" spans="1:5" s="1" customFormat="1" ht="12.75">
      <c r="A7" s="216" t="s">
        <v>488</v>
      </c>
      <c r="B7" s="216"/>
      <c r="C7" s="216"/>
      <c r="D7" s="216"/>
      <c r="E7" s="139"/>
    </row>
    <row r="8" spans="1:5" s="1" customFormat="1" ht="12.75">
      <c r="A8" s="215" t="s">
        <v>490</v>
      </c>
      <c r="B8" s="215"/>
      <c r="C8" s="215"/>
      <c r="D8" s="215"/>
      <c r="E8" s="140"/>
    </row>
    <row r="9" spans="1:3" ht="33.75" customHeight="1">
      <c r="A9" s="214" t="s">
        <v>360</v>
      </c>
      <c r="B9" s="214"/>
      <c r="C9" s="214"/>
    </row>
    <row r="10" spans="1:3" ht="32.25" customHeight="1">
      <c r="A10" s="214" t="s">
        <v>502</v>
      </c>
      <c r="B10" s="214"/>
      <c r="C10" s="214"/>
    </row>
    <row r="11" spans="1:3" ht="15">
      <c r="A11" s="131" t="s">
        <v>301</v>
      </c>
      <c r="B11" s="132" t="s">
        <v>149</v>
      </c>
      <c r="C11" s="133"/>
    </row>
    <row r="12" spans="1:4" ht="15">
      <c r="A12" s="4" t="s">
        <v>302</v>
      </c>
      <c r="B12" s="4" t="s">
        <v>312</v>
      </c>
      <c r="C12" s="4" t="s">
        <v>312</v>
      </c>
      <c r="D12" s="4" t="s">
        <v>313</v>
      </c>
    </row>
    <row r="13" spans="1:5" ht="15">
      <c r="A13" s="134" t="s">
        <v>303</v>
      </c>
      <c r="B13" s="135">
        <f>B15+B19+B22</f>
        <v>28295.9</v>
      </c>
      <c r="C13" s="136">
        <v>67910.32869695651</v>
      </c>
      <c r="D13" s="137">
        <v>77457.44982391303</v>
      </c>
      <c r="E13" s="138"/>
    </row>
    <row r="14" spans="1:4" ht="15">
      <c r="A14" s="5" t="s">
        <v>304</v>
      </c>
      <c r="B14" s="135">
        <v>0</v>
      </c>
      <c r="C14" s="136">
        <v>0</v>
      </c>
      <c r="D14" s="137">
        <v>0</v>
      </c>
    </row>
    <row r="15" spans="1:5" ht="15">
      <c r="A15" s="6" t="s">
        <v>305</v>
      </c>
      <c r="B15" s="135">
        <f>18465791.45/1000</f>
        <v>18465.79145</v>
      </c>
      <c r="C15" s="136">
        <v>58519.183776521706</v>
      </c>
      <c r="D15" s="137">
        <v>67910.32869695651</v>
      </c>
      <c r="E15" s="138"/>
    </row>
    <row r="16" spans="1:4" ht="45">
      <c r="A16" s="6" t="s">
        <v>306</v>
      </c>
      <c r="B16" s="135">
        <v>0</v>
      </c>
      <c r="C16" s="136">
        <v>0</v>
      </c>
      <c r="D16" s="137">
        <v>0</v>
      </c>
    </row>
    <row r="17" spans="1:4" ht="15">
      <c r="A17" s="6" t="s">
        <v>307</v>
      </c>
      <c r="B17" s="135">
        <v>0</v>
      </c>
      <c r="C17" s="136">
        <v>0</v>
      </c>
      <c r="D17" s="137">
        <v>0</v>
      </c>
    </row>
    <row r="18" spans="1:4" ht="15">
      <c r="A18" s="6" t="s">
        <v>308</v>
      </c>
      <c r="B18" s="135">
        <v>0</v>
      </c>
      <c r="C18" s="136">
        <v>0</v>
      </c>
      <c r="D18" s="137">
        <v>0</v>
      </c>
    </row>
    <row r="19" spans="1:4" ht="30">
      <c r="A19" s="6" t="s">
        <v>309</v>
      </c>
      <c r="B19" s="135">
        <f>B20</f>
        <v>27322.7</v>
      </c>
      <c r="C19" s="136">
        <v>33009.944920434806</v>
      </c>
      <c r="D19" s="137">
        <v>10520.321126956529</v>
      </c>
    </row>
    <row r="20" spans="1:4" ht="15">
      <c r="A20" s="6" t="s">
        <v>307</v>
      </c>
      <c r="B20" s="135">
        <f>'прил.9'!C7</f>
        <v>27322.7</v>
      </c>
      <c r="C20" s="136">
        <v>33009.944920434806</v>
      </c>
      <c r="D20" s="137">
        <v>10520.321126956529</v>
      </c>
    </row>
    <row r="21" spans="1:4" ht="15">
      <c r="A21" s="6" t="s">
        <v>308</v>
      </c>
      <c r="B21" s="135">
        <v>0</v>
      </c>
      <c r="C21" s="136">
        <v>0</v>
      </c>
      <c r="D21" s="137">
        <v>0</v>
      </c>
    </row>
    <row r="22" spans="1:4" ht="45">
      <c r="A22" s="6" t="s">
        <v>310</v>
      </c>
      <c r="B22" s="135">
        <f>B23+B25</f>
        <v>-17492.59145</v>
      </c>
      <c r="C22" s="136">
        <v>-23618.8</v>
      </c>
      <c r="D22" s="137">
        <v>-973.2</v>
      </c>
    </row>
    <row r="23" spans="1:4" ht="15">
      <c r="A23" s="6" t="s">
        <v>307</v>
      </c>
      <c r="B23" s="135">
        <v>0</v>
      </c>
      <c r="C23" s="136">
        <v>0</v>
      </c>
      <c r="D23" s="137">
        <v>0</v>
      </c>
    </row>
    <row r="24" spans="1:4" ht="45">
      <c r="A24" s="9" t="s">
        <v>353</v>
      </c>
      <c r="B24" s="135">
        <v>0</v>
      </c>
      <c r="C24" s="136">
        <v>-23618.8</v>
      </c>
      <c r="D24" s="137">
        <v>-973.2</v>
      </c>
    </row>
    <row r="25" spans="1:2" ht="15">
      <c r="A25" s="6" t="s">
        <v>308</v>
      </c>
      <c r="B25" s="135">
        <f>'прил.9'!C12</f>
        <v>-17492.59145</v>
      </c>
    </row>
    <row r="26" spans="1:2" ht="45">
      <c r="A26" s="6" t="s">
        <v>354</v>
      </c>
      <c r="B26" s="135">
        <v>0</v>
      </c>
    </row>
  </sheetData>
  <sheetProtection/>
  <mergeCells count="9">
    <mergeCell ref="A9:C9"/>
    <mergeCell ref="A10:C10"/>
    <mergeCell ref="A8:D8"/>
    <mergeCell ref="A4:B4"/>
    <mergeCell ref="A5:B5"/>
    <mergeCell ref="A2:D2"/>
    <mergeCell ref="A3:D3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BreakPreview" zoomScale="60" zoomScalePageLayoutView="0" workbookViewId="0" topLeftCell="A1">
      <selection activeCell="D15" sqref="D15"/>
    </sheetView>
  </sheetViews>
  <sheetFormatPr defaultColWidth="9.00390625" defaultRowHeight="12.75"/>
  <cols>
    <col min="1" max="1" width="49.375" style="113" customWidth="1"/>
    <col min="2" max="2" width="25.25390625" style="113" hidden="1" customWidth="1"/>
    <col min="3" max="3" width="24.375" style="113" customWidth="1"/>
    <col min="4" max="4" width="29.375" style="113" customWidth="1"/>
    <col min="5" max="6" width="14.75390625" style="66" customWidth="1"/>
    <col min="7" max="16384" width="9.125" style="66" customWidth="1"/>
  </cols>
  <sheetData>
    <row r="1" spans="1:5" s="1" customFormat="1" ht="15" customHeight="1">
      <c r="A1" s="216" t="s">
        <v>338</v>
      </c>
      <c r="B1" s="216"/>
      <c r="C1" s="216"/>
      <c r="D1" s="216"/>
      <c r="E1" s="139"/>
    </row>
    <row r="2" spans="1:5" s="1" customFormat="1" ht="12.75">
      <c r="A2" s="216" t="s">
        <v>300</v>
      </c>
      <c r="B2" s="216"/>
      <c r="C2" s="216"/>
      <c r="D2" s="216"/>
      <c r="E2" s="139"/>
    </row>
    <row r="3" spans="1:5" s="1" customFormat="1" ht="12.75">
      <c r="A3" s="216" t="s">
        <v>340</v>
      </c>
      <c r="B3" s="216"/>
      <c r="C3" s="216"/>
      <c r="D3" s="216"/>
      <c r="E3" s="139"/>
    </row>
    <row r="4" spans="1:5" s="1" customFormat="1" ht="12.75">
      <c r="A4" s="216" t="s">
        <v>341</v>
      </c>
      <c r="B4" s="216"/>
      <c r="C4" s="216"/>
      <c r="D4" s="216"/>
      <c r="E4" s="139"/>
    </row>
    <row r="5" spans="1:5" s="1" customFormat="1" ht="12.75">
      <c r="A5" s="216" t="s">
        <v>342</v>
      </c>
      <c r="B5" s="216"/>
      <c r="C5" s="216"/>
      <c r="D5" s="216"/>
      <c r="E5" s="139"/>
    </row>
    <row r="6" spans="1:5" s="1" customFormat="1" ht="12.75">
      <c r="A6" s="216" t="s">
        <v>337</v>
      </c>
      <c r="B6" s="216"/>
      <c r="C6" s="216"/>
      <c r="D6" s="216"/>
      <c r="E6" s="139"/>
    </row>
    <row r="7" spans="1:5" s="1" customFormat="1" ht="12.75">
      <c r="A7" s="216" t="s">
        <v>359</v>
      </c>
      <c r="B7" s="216"/>
      <c r="C7" s="216"/>
      <c r="D7" s="216"/>
      <c r="E7" s="139"/>
    </row>
    <row r="8" spans="1:5" s="1" customFormat="1" ht="12.75">
      <c r="A8" s="216" t="s">
        <v>483</v>
      </c>
      <c r="B8" s="216"/>
      <c r="C8" s="216"/>
      <c r="D8" s="216"/>
      <c r="E8" s="140"/>
    </row>
    <row r="9" spans="1:4" ht="31.5" customHeight="1">
      <c r="A9" s="214" t="s">
        <v>360</v>
      </c>
      <c r="B9" s="214"/>
      <c r="C9" s="214"/>
      <c r="D9" s="214"/>
    </row>
    <row r="10" spans="1:4" ht="47.25" customHeight="1">
      <c r="A10" s="214" t="s">
        <v>503</v>
      </c>
      <c r="B10" s="214"/>
      <c r="C10" s="214"/>
      <c r="D10" s="214"/>
    </row>
    <row r="11" spans="1:3" ht="15" hidden="1">
      <c r="A11" s="131" t="s">
        <v>301</v>
      </c>
      <c r="B11" s="132" t="s">
        <v>149</v>
      </c>
      <c r="C11" s="133"/>
    </row>
    <row r="12" spans="1:4" ht="15">
      <c r="A12" s="4" t="s">
        <v>302</v>
      </c>
      <c r="B12" s="4" t="s">
        <v>311</v>
      </c>
      <c r="C12" s="4" t="s">
        <v>313</v>
      </c>
      <c r="D12" s="4" t="s">
        <v>487</v>
      </c>
    </row>
    <row r="13" spans="1:5" ht="15">
      <c r="A13" s="134" t="s">
        <v>303</v>
      </c>
      <c r="B13" s="137">
        <v>58519.183776521706</v>
      </c>
      <c r="C13" s="135">
        <f>C15+C19+C22</f>
        <v>37476.16</v>
      </c>
      <c r="D13" s="135">
        <f>D15+D19+D22</f>
        <v>46867.71000000001</v>
      </c>
      <c r="E13" s="138"/>
    </row>
    <row r="14" spans="1:4" ht="15">
      <c r="A14" s="5" t="s">
        <v>304</v>
      </c>
      <c r="B14" s="137">
        <v>0</v>
      </c>
      <c r="C14" s="135">
        <v>0</v>
      </c>
      <c r="D14" s="135">
        <v>0</v>
      </c>
    </row>
    <row r="15" spans="1:5" ht="15">
      <c r="A15" s="6" t="s">
        <v>305</v>
      </c>
      <c r="B15" s="137">
        <v>47865.97582</v>
      </c>
      <c r="C15" s="35">
        <f>'прил. 11'!B13</f>
        <v>28295.9</v>
      </c>
      <c r="D15" s="35">
        <f>C13</f>
        <v>37476.16</v>
      </c>
      <c r="E15" s="138"/>
    </row>
    <row r="16" spans="1:4" ht="45">
      <c r="A16" s="6" t="s">
        <v>306</v>
      </c>
      <c r="B16" s="137">
        <v>0</v>
      </c>
      <c r="C16" s="35">
        <v>0</v>
      </c>
      <c r="D16" s="35">
        <v>0</v>
      </c>
    </row>
    <row r="17" spans="1:4" ht="15">
      <c r="A17" s="6" t="s">
        <v>307</v>
      </c>
      <c r="B17" s="137">
        <v>0</v>
      </c>
      <c r="C17" s="35">
        <v>0</v>
      </c>
      <c r="D17" s="35">
        <v>0</v>
      </c>
    </row>
    <row r="18" spans="1:4" ht="15">
      <c r="A18" s="6" t="s">
        <v>308</v>
      </c>
      <c r="B18" s="137">
        <v>0</v>
      </c>
      <c r="C18" s="35">
        <v>0</v>
      </c>
      <c r="D18" s="35">
        <v>0</v>
      </c>
    </row>
    <row r="19" spans="1:4" ht="30">
      <c r="A19" s="6" t="s">
        <v>309</v>
      </c>
      <c r="B19" s="137">
        <v>33927.1837765217</v>
      </c>
      <c r="C19" s="35">
        <f>C20</f>
        <v>10153.46</v>
      </c>
      <c r="D19" s="35">
        <f>D20</f>
        <v>9391.55</v>
      </c>
    </row>
    <row r="20" spans="1:4" ht="15">
      <c r="A20" s="6" t="s">
        <v>307</v>
      </c>
      <c r="B20" s="137">
        <v>33927.1837765217</v>
      </c>
      <c r="C20" s="35">
        <f>'прил.10'!C12</f>
        <v>10153.46</v>
      </c>
      <c r="D20" s="35">
        <f>'прил.10'!D12</f>
        <v>9391.55</v>
      </c>
    </row>
    <row r="21" spans="1:4" ht="15">
      <c r="A21" s="6" t="s">
        <v>308</v>
      </c>
      <c r="B21" s="137">
        <v>0</v>
      </c>
      <c r="C21" s="35">
        <v>0</v>
      </c>
      <c r="D21" s="35">
        <v>0</v>
      </c>
    </row>
    <row r="22" spans="1:4" ht="45">
      <c r="A22" s="6" t="s">
        <v>310</v>
      </c>
      <c r="B22" s="137">
        <v>-23273.97582</v>
      </c>
      <c r="C22" s="35">
        <f>C25</f>
        <v>-973.2</v>
      </c>
      <c r="D22" s="35">
        <v>0</v>
      </c>
    </row>
    <row r="23" spans="1:4" ht="15">
      <c r="A23" s="6" t="s">
        <v>307</v>
      </c>
      <c r="B23" s="137">
        <v>0</v>
      </c>
      <c r="C23" s="35">
        <v>0</v>
      </c>
      <c r="D23" s="35">
        <v>0</v>
      </c>
    </row>
    <row r="24" spans="1:4" ht="45">
      <c r="A24" s="9" t="s">
        <v>353</v>
      </c>
      <c r="B24" s="137">
        <v>-23273.97582</v>
      </c>
      <c r="C24" s="35">
        <v>0</v>
      </c>
      <c r="D24" s="35">
        <v>0</v>
      </c>
    </row>
    <row r="25" spans="1:4" ht="15">
      <c r="A25" s="6" t="s">
        <v>308</v>
      </c>
      <c r="C25" s="35">
        <f>'прил.10'!C17</f>
        <v>-973.2</v>
      </c>
      <c r="D25" s="35">
        <v>0</v>
      </c>
    </row>
    <row r="26" spans="1:4" ht="45">
      <c r="A26" s="6" t="s">
        <v>354</v>
      </c>
      <c r="C26" s="35">
        <v>0</v>
      </c>
      <c r="D26" s="35">
        <v>0</v>
      </c>
    </row>
  </sheetData>
  <sheetProtection/>
  <mergeCells count="10">
    <mergeCell ref="A10:D10"/>
    <mergeCell ref="A1:D1"/>
    <mergeCell ref="A4:D4"/>
    <mergeCell ref="A5:D5"/>
    <mergeCell ref="A9:D9"/>
    <mergeCell ref="A2:D2"/>
    <mergeCell ref="A3:D3"/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1"/>
  <sheetViews>
    <sheetView view="pageBreakPreview" zoomScale="60" zoomScalePageLayoutView="0" workbookViewId="0" topLeftCell="B67">
      <selection activeCell="O82" sqref="O82"/>
    </sheetView>
  </sheetViews>
  <sheetFormatPr defaultColWidth="9.00390625" defaultRowHeight="12.75"/>
  <cols>
    <col min="1" max="1" width="13.875" style="47" hidden="1" customWidth="1"/>
    <col min="2" max="2" width="50.125" style="56" customWidth="1"/>
    <col min="3" max="3" width="6.00390625" style="56" customWidth="1"/>
    <col min="4" max="4" width="5.00390625" style="56" customWidth="1"/>
    <col min="5" max="5" width="2.125" style="56" customWidth="1"/>
    <col min="6" max="6" width="9.75390625" style="56" customWidth="1"/>
    <col min="7" max="7" width="7.125" style="56" customWidth="1"/>
    <col min="8" max="8" width="2.875" style="56" customWidth="1"/>
    <col min="9" max="9" width="19.00390625" style="56" hidden="1" customWidth="1"/>
    <col min="10" max="10" width="16.375" style="56" customWidth="1"/>
    <col min="11" max="11" width="19.625" style="56" customWidth="1"/>
    <col min="12" max="19" width="9.125" style="47" customWidth="1"/>
    <col min="20" max="20" width="9.25390625" style="47" bestFit="1" customWidth="1"/>
    <col min="21" max="16384" width="9.125" style="47" customWidth="1"/>
  </cols>
  <sheetData>
    <row r="1" spans="3:11" ht="96" customHeight="1">
      <c r="C1" s="179" t="s">
        <v>482</v>
      </c>
      <c r="D1" s="179"/>
      <c r="E1" s="179"/>
      <c r="F1" s="179"/>
      <c r="G1" s="179"/>
      <c r="H1" s="179"/>
      <c r="I1" s="179"/>
      <c r="J1" s="179"/>
      <c r="K1" s="179"/>
    </row>
    <row r="2" spans="2:16" ht="55.5" customHeight="1">
      <c r="B2" s="180" t="s">
        <v>476</v>
      </c>
      <c r="C2" s="180"/>
      <c r="D2" s="180"/>
      <c r="E2" s="180"/>
      <c r="F2" s="180"/>
      <c r="G2" s="180"/>
      <c r="H2" s="180"/>
      <c r="I2" s="180"/>
      <c r="J2" s="180"/>
      <c r="K2" s="180"/>
      <c r="P2" s="47" t="s">
        <v>104</v>
      </c>
    </row>
    <row r="3" spans="2:9" ht="15" hidden="1">
      <c r="B3" s="80" t="s">
        <v>18</v>
      </c>
      <c r="C3" s="80"/>
      <c r="D3" s="128"/>
      <c r="E3" s="128"/>
      <c r="F3" s="128"/>
      <c r="G3" s="128"/>
      <c r="H3" s="169" t="s">
        <v>18</v>
      </c>
      <c r="I3" s="169"/>
    </row>
    <row r="4" spans="2:11" ht="15" customHeight="1">
      <c r="B4" s="202" t="s">
        <v>326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2:11" s="50" customFormat="1" ht="21" customHeight="1">
      <c r="B5" s="42" t="str">
        <f>'[1]прил.1'!B4</f>
        <v>Наименование</v>
      </c>
      <c r="C5" s="42"/>
      <c r="D5" s="181" t="str">
        <f>'[1]прил.1'!D4</f>
        <v>КБК</v>
      </c>
      <c r="E5" s="181"/>
      <c r="F5" s="181"/>
      <c r="G5" s="181"/>
      <c r="H5" s="181"/>
      <c r="I5" s="43" t="str">
        <f>'[1]прил.1'!I4</f>
        <v> на 2024 год </v>
      </c>
      <c r="J5" s="43" t="s">
        <v>469</v>
      </c>
      <c r="K5" s="43" t="s">
        <v>470</v>
      </c>
    </row>
    <row r="6" spans="2:11" ht="15">
      <c r="B6" s="170" t="str">
        <f>'[1]прил.1'!B5</f>
        <v>НАЛОГОВЫЕ И НЕНАЛОГОВЫЕ ДОХОДЫ  </v>
      </c>
      <c r="C6" s="171"/>
      <c r="D6" s="182" t="str">
        <f>'[1]прил.1'!D5</f>
        <v>1 00 00000 00 0000 000</v>
      </c>
      <c r="E6" s="182"/>
      <c r="F6" s="182"/>
      <c r="G6" s="182"/>
      <c r="H6" s="182"/>
      <c r="I6" s="35">
        <f>'[1]прил.1'!I5</f>
        <v>126797.90000000001</v>
      </c>
      <c r="J6" s="35">
        <f>J7+J49</f>
        <v>122403.5</v>
      </c>
      <c r="K6" s="35">
        <f>K7+K49</f>
        <v>125220.70000000001</v>
      </c>
    </row>
    <row r="7" spans="2:11" ht="15">
      <c r="B7" s="151" t="s">
        <v>475</v>
      </c>
      <c r="C7" s="171"/>
      <c r="D7" s="182" t="str">
        <f>'[1]прил.1'!D6</f>
        <v>1 00 00000 00 0000 000</v>
      </c>
      <c r="E7" s="182"/>
      <c r="F7" s="182"/>
      <c r="G7" s="182"/>
      <c r="H7" s="182"/>
      <c r="I7" s="35">
        <f>'[1]прил.1'!I6</f>
        <v>102881.90000000001</v>
      </c>
      <c r="J7" s="35">
        <f>J10+J13+J16+J19+J20+J21+J22+J23+J28+J32+J36+J40+J44+J47</f>
        <v>105799</v>
      </c>
      <c r="K7" s="35">
        <f>K10+K13+K16+K19+K20+K21+K22+K23+K28+K32+K36+K40+K44+K47</f>
        <v>108866.20000000001</v>
      </c>
    </row>
    <row r="8" spans="2:11" ht="15">
      <c r="B8" s="18" t="str">
        <f>'[1]прил.1'!B7</f>
        <v>НАЛОГИ НА ПРИБЫЛЬ, ДОХОДЫ</v>
      </c>
      <c r="C8" s="146">
        <f>'[1]прил.1'!C7</f>
        <v>182</v>
      </c>
      <c r="D8" s="182" t="str">
        <f>'[1]прил.1'!D7</f>
        <v>1 01 00000 00 0000 000</v>
      </c>
      <c r="E8" s="182"/>
      <c r="F8" s="182"/>
      <c r="G8" s="182"/>
      <c r="H8" s="182"/>
      <c r="I8" s="35">
        <f>'[1]прил.1'!I7</f>
        <v>27398.3</v>
      </c>
      <c r="J8" s="35">
        <f>J9</f>
        <v>28681.600000000002</v>
      </c>
      <c r="K8" s="35">
        <f>K9</f>
        <v>30025.300000000003</v>
      </c>
    </row>
    <row r="9" spans="2:11" ht="15">
      <c r="B9" s="18" t="str">
        <f>'[1]прил.1'!B8</f>
        <v>Налог на доходы физических лиц</v>
      </c>
      <c r="C9" s="146">
        <f>'[1]прил.1'!C8</f>
        <v>182</v>
      </c>
      <c r="D9" s="182" t="str">
        <f>'[1]прил.1'!D8</f>
        <v>1 01 02000 01 0000 110</v>
      </c>
      <c r="E9" s="182"/>
      <c r="F9" s="182"/>
      <c r="G9" s="182"/>
      <c r="H9" s="182"/>
      <c r="I9" s="35">
        <f>'[1]прил.1'!I8</f>
        <v>27398.3</v>
      </c>
      <c r="J9" s="35">
        <f>J10+J13+J16+J19+J20+J21+J22</f>
        <v>28681.600000000002</v>
      </c>
      <c r="K9" s="35">
        <f>K10+K13+K16+K19+K20+K21+K22</f>
        <v>30025.300000000003</v>
      </c>
    </row>
    <row r="10" spans="2:11" ht="75">
      <c r="B10" s="14" t="str">
        <f>'[1]прил.1'!B9</f>
        <v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 227, 227.1, 228 НК РФ</v>
      </c>
      <c r="C10" s="146">
        <f>'[1]прил.1'!C9</f>
        <v>182</v>
      </c>
      <c r="D10" s="182" t="str">
        <f>'[1]прил.1'!D9</f>
        <v>1 01 02010 01 0000 110</v>
      </c>
      <c r="E10" s="182"/>
      <c r="F10" s="182"/>
      <c r="G10" s="182"/>
      <c r="H10" s="182"/>
      <c r="I10" s="35">
        <f>'[1]прил.1'!I9</f>
        <v>23723.3</v>
      </c>
      <c r="J10" s="35">
        <v>24859.7</v>
      </c>
      <c r="K10" s="35">
        <v>26050.5</v>
      </c>
    </row>
    <row r="11" spans="2:11" ht="90">
      <c r="B11" s="147" t="str">
        <f>'[1]прил.1'!B10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v>
      </c>
      <c r="C11" s="146">
        <f>'[1]прил.1'!C10</f>
        <v>182</v>
      </c>
      <c r="D11" s="182" t="str">
        <f>'[1]прил.1'!D10</f>
        <v>1 01 02010 01 1000 110</v>
      </c>
      <c r="E11" s="182"/>
      <c r="F11" s="182"/>
      <c r="G11" s="182"/>
      <c r="H11" s="182"/>
      <c r="I11" s="35">
        <f>'[1]прил.1'!I10</f>
        <v>23723.3</v>
      </c>
      <c r="J11" s="35">
        <v>24859.7</v>
      </c>
      <c r="K11" s="35">
        <v>26050.5</v>
      </c>
    </row>
    <row r="12" spans="2:11" ht="90">
      <c r="B12" s="147" t="str">
        <f>'[1]прил.1'!B11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v>
      </c>
      <c r="C12" s="146">
        <f>'[1]прил.1'!C11</f>
        <v>182</v>
      </c>
      <c r="D12" s="182" t="str">
        <f>'[1]прил.1'!D11</f>
        <v>1 01 02010 01 3000 110</v>
      </c>
      <c r="E12" s="182"/>
      <c r="F12" s="182"/>
      <c r="G12" s="182"/>
      <c r="H12" s="182"/>
      <c r="I12" s="35">
        <f>'[1]прил.1'!I11</f>
        <v>0</v>
      </c>
      <c r="J12" s="35">
        <v>0</v>
      </c>
      <c r="K12" s="35">
        <v>0</v>
      </c>
    </row>
    <row r="13" spans="2:11" ht="90">
      <c r="B13" s="14" t="str">
        <f>'[1]прил.1'!B12</f>
        <v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 занимающихся частной практикой, адвокатов, учредивших адвокатские кабинет</v>
      </c>
      <c r="C13" s="146">
        <f>'[1]прил.1'!C12</f>
        <v>182</v>
      </c>
      <c r="D13" s="182" t="str">
        <f>'[1]прил.1'!D12</f>
        <v>1 01 02020 01 0000 110</v>
      </c>
      <c r="E13" s="182"/>
      <c r="F13" s="182"/>
      <c r="G13" s="182"/>
      <c r="H13" s="182"/>
      <c r="I13" s="35">
        <f>'[1]прил.1'!I12</f>
        <v>153.5</v>
      </c>
      <c r="J13" s="35">
        <v>159.6</v>
      </c>
      <c r="K13" s="35">
        <v>166</v>
      </c>
    </row>
    <row r="14" spans="2:11" ht="90">
      <c r="B14" s="147" t="str">
        <f>'[1]прил.1'!B13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v>
      </c>
      <c r="C14" s="146">
        <f>'[1]прил.1'!C13</f>
        <v>182</v>
      </c>
      <c r="D14" s="182" t="str">
        <f>'[1]прил.1'!D13</f>
        <v>1 01 02020 01 1000 110</v>
      </c>
      <c r="E14" s="182"/>
      <c r="F14" s="182"/>
      <c r="G14" s="182"/>
      <c r="H14" s="182"/>
      <c r="I14" s="35">
        <f>'[1]прил.1'!I13</f>
        <v>153.5</v>
      </c>
      <c r="J14" s="35">
        <v>159.6</v>
      </c>
      <c r="K14" s="35">
        <v>166</v>
      </c>
    </row>
    <row r="15" spans="2:11" ht="90">
      <c r="B15" s="147" t="str">
        <f>'[1]прил.1'!B14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v>
      </c>
      <c r="C15" s="146">
        <f>'[1]прил.1'!C14</f>
        <v>182</v>
      </c>
      <c r="D15" s="184" t="str">
        <f>'[1]прил.1'!D14</f>
        <v>1 01 02020 01 3000 110</v>
      </c>
      <c r="E15" s="185"/>
      <c r="F15" s="185"/>
      <c r="G15" s="185"/>
      <c r="H15" s="186"/>
      <c r="I15" s="35">
        <f>'[1]прил.1'!I14</f>
        <v>0</v>
      </c>
      <c r="J15" s="35">
        <v>0</v>
      </c>
      <c r="K15" s="35">
        <v>0</v>
      </c>
    </row>
    <row r="16" spans="2:11" ht="60">
      <c r="B16" s="14" t="str">
        <f>'[1]прил.1'!B15</f>
        <v>Налог  на доходы физических лиц с доходов,  полученных физическими лицами в соответствии со статьей 228 Налогового Кодекса Российской Федерации  </v>
      </c>
      <c r="C16" s="146">
        <f>'[1]прил.1'!C15</f>
        <v>182</v>
      </c>
      <c r="D16" s="182" t="str">
        <f>'[1]прил.1'!D15</f>
        <v>1 01 02030 01 0000 110</v>
      </c>
      <c r="E16" s="182"/>
      <c r="F16" s="182"/>
      <c r="G16" s="182"/>
      <c r="H16" s="182"/>
      <c r="I16" s="35">
        <f>'[1]прил.1'!I15</f>
        <v>1945.9</v>
      </c>
      <c r="J16" s="35">
        <f>J17+J18</f>
        <v>2023.7</v>
      </c>
      <c r="K16" s="35">
        <v>2104.7</v>
      </c>
    </row>
    <row r="17" spans="2:11" ht="90">
      <c r="B17" s="147" t="str">
        <f>'[1]прил.1'!B16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C17" s="146">
        <f>'[1]прил.1'!C16</f>
        <v>182</v>
      </c>
      <c r="D17" s="182" t="str">
        <f>'[1]прил.1'!D16</f>
        <v>1 01 02030 01 1000 110</v>
      </c>
      <c r="E17" s="182"/>
      <c r="F17" s="182"/>
      <c r="G17" s="182"/>
      <c r="H17" s="182"/>
      <c r="I17" s="35">
        <f>'[1]прил.1'!I16</f>
        <v>1945.9</v>
      </c>
      <c r="J17" s="35">
        <v>2023.7</v>
      </c>
      <c r="K17" s="35">
        <v>2104.7</v>
      </c>
    </row>
    <row r="18" spans="2:11" ht="90">
      <c r="B18" s="147" t="str">
        <f>'[1]прил.1'!B17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v>
      </c>
      <c r="C18" s="146">
        <f>'[1]прил.1'!C17</f>
        <v>182</v>
      </c>
      <c r="D18" s="182" t="str">
        <f>'[1]прил.1'!D17</f>
        <v>1 01 02030 01 3000 110</v>
      </c>
      <c r="E18" s="182"/>
      <c r="F18" s="182"/>
      <c r="G18" s="182"/>
      <c r="H18" s="182"/>
      <c r="I18" s="35">
        <f>'[1]прил.1'!I17</f>
        <v>0</v>
      </c>
      <c r="J18" s="35">
        <v>0</v>
      </c>
      <c r="K18" s="35">
        <v>0</v>
      </c>
    </row>
    <row r="19" spans="2:11" ht="90">
      <c r="B19" s="14" t="str">
        <f>'[1]прил.1'!B18</f>
        <v>Налог на доходы физических лиц в виде фиксированных авансовых платежей с доходов,  полученных  физическими лицами ,являющиеся иностранными гражданами, осуществляющими трудовую деятельность по найму на основании патента в соответствии  со статьей 227.1 Нал</v>
      </c>
      <c r="C19" s="146">
        <f>'[1]прил.1'!C18</f>
        <v>182</v>
      </c>
      <c r="D19" s="182" t="str">
        <f>'[1]прил.1'!D18</f>
        <v>1 01 02040 01 1000 110</v>
      </c>
      <c r="E19" s="182"/>
      <c r="F19" s="182"/>
      <c r="G19" s="182"/>
      <c r="H19" s="182"/>
      <c r="I19" s="35">
        <f>'[1]прил.1'!I18</f>
        <v>216.1</v>
      </c>
      <c r="J19" s="35">
        <v>224.7</v>
      </c>
      <c r="K19" s="35">
        <v>233.7</v>
      </c>
    </row>
    <row r="20" spans="2:11" ht="90">
      <c r="B20" s="147" t="str">
        <f>'[1]прил.1'!B19</f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v>
      </c>
      <c r="C20" s="146">
        <f>'[1]прил.1'!C19</f>
        <v>182</v>
      </c>
      <c r="D20" s="182" t="str">
        <f>'[1]прил.1'!D19</f>
        <v>1 01 02080 01 1000 110</v>
      </c>
      <c r="E20" s="182"/>
      <c r="F20" s="182"/>
      <c r="G20" s="182"/>
      <c r="H20" s="182"/>
      <c r="I20" s="35">
        <f>'[1]прил.1'!I19</f>
        <v>342</v>
      </c>
      <c r="J20" s="35">
        <v>355.7</v>
      </c>
      <c r="K20" s="35">
        <v>369.9</v>
      </c>
    </row>
    <row r="21" spans="2:11" ht="105">
      <c r="B21" s="23" t="s">
        <v>471</v>
      </c>
      <c r="C21" s="57">
        <v>182</v>
      </c>
      <c r="D21" s="183" t="s">
        <v>472</v>
      </c>
      <c r="E21" s="183"/>
      <c r="F21" s="183"/>
      <c r="G21" s="183"/>
      <c r="H21" s="183"/>
      <c r="I21" s="88">
        <v>518.6</v>
      </c>
      <c r="J21" s="35">
        <v>539.4</v>
      </c>
      <c r="K21" s="35">
        <v>560.9</v>
      </c>
    </row>
    <row r="22" spans="2:11" ht="150">
      <c r="B22" s="23" t="s">
        <v>473</v>
      </c>
      <c r="C22" s="57">
        <v>182</v>
      </c>
      <c r="D22" s="187" t="s">
        <v>474</v>
      </c>
      <c r="E22" s="188"/>
      <c r="F22" s="188"/>
      <c r="G22" s="188"/>
      <c r="H22" s="189"/>
      <c r="I22" s="88">
        <v>498.9</v>
      </c>
      <c r="J22" s="35">
        <v>518.8</v>
      </c>
      <c r="K22" s="35">
        <v>539.6</v>
      </c>
    </row>
    <row r="23" spans="2:11" ht="45">
      <c r="B23" s="14" t="str">
        <f>'[1]прил.1'!B22</f>
        <v>НАЛОГИ НА ТОВАРЫ (РАБОТЫ, УСЛУГИ), РЕАЛИЗУЕМЫЕ НА ТЕРРИТОРИИ РОССИЙСКОЙ ФЕДЕРАЦИИ</v>
      </c>
      <c r="C23" s="146">
        <f>'[1]прил.1'!C22</f>
        <v>182</v>
      </c>
      <c r="D23" s="182" t="str">
        <f>'[1]прил.1'!D22</f>
        <v>1 03 00000 00 0000 000</v>
      </c>
      <c r="E23" s="182"/>
      <c r="F23" s="182"/>
      <c r="G23" s="182"/>
      <c r="H23" s="182"/>
      <c r="I23" s="35">
        <f>'[1]прил.1'!I22</f>
        <v>12009.800000000001</v>
      </c>
      <c r="J23" s="35">
        <f>J24+J25+J26+J27</f>
        <v>12374.800000000001</v>
      </c>
      <c r="K23" s="35">
        <f>K24+K25+K26+K27</f>
        <v>12804.4</v>
      </c>
    </row>
    <row r="24" spans="2:11" ht="90">
      <c r="B24" s="14" t="str">
        <f>'[1]прил.1'!B23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C24" s="146">
        <f>'[1]прил.1'!C23</f>
        <v>182</v>
      </c>
      <c r="D24" s="190" t="str">
        <f>'[1]прил.1'!D23</f>
        <v>1 03 02231 01 0000 110</v>
      </c>
      <c r="E24" s="190"/>
      <c r="F24" s="190"/>
      <c r="G24" s="190"/>
      <c r="H24" s="190"/>
      <c r="I24" s="35">
        <f>'[1]прил.1'!I23</f>
        <v>6263.6</v>
      </c>
      <c r="J24" s="35">
        <v>6438.1</v>
      </c>
      <c r="K24" s="35">
        <v>6669.8</v>
      </c>
    </row>
    <row r="25" spans="2:11" ht="90">
      <c r="B25" s="14" t="str">
        <f>'[1]прил.1'!B24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</c>
      <c r="C25" s="146">
        <f>'[1]прил.1'!C24</f>
        <v>182</v>
      </c>
      <c r="D25" s="190" t="str">
        <f>'[1]прил.1'!D24</f>
        <v>1 03 02241 01 0000 110</v>
      </c>
      <c r="E25" s="190"/>
      <c r="F25" s="190"/>
      <c r="G25" s="190"/>
      <c r="H25" s="190"/>
      <c r="I25" s="35">
        <f>'[1]прил.1'!I24</f>
        <v>29.8</v>
      </c>
      <c r="J25" s="35">
        <v>33.8</v>
      </c>
      <c r="K25" s="35">
        <v>35.4</v>
      </c>
    </row>
    <row r="26" spans="2:11" ht="141.75" customHeight="1">
      <c r="B26" s="14" t="str">
        <f>'[1]прил.1'!B25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C26" s="146">
        <f>'[1]прил.1'!C25</f>
        <v>182</v>
      </c>
      <c r="D26" s="190" t="str">
        <f>'[1]прил.1'!D25</f>
        <v>1 03 02251 01 0000 110</v>
      </c>
      <c r="E26" s="190"/>
      <c r="F26" s="190"/>
      <c r="G26" s="190"/>
      <c r="H26" s="190"/>
      <c r="I26" s="35">
        <f>'[1]прил.1'!I25</f>
        <v>6494.7</v>
      </c>
      <c r="J26" s="35">
        <v>6703.2</v>
      </c>
      <c r="K26" s="35">
        <v>6946.6</v>
      </c>
    </row>
    <row r="27" spans="2:11" ht="90">
      <c r="B27" s="14" t="str">
        <f>'[1]прил.1'!B26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C27" s="146">
        <f>'[1]прил.1'!C26</f>
        <v>182</v>
      </c>
      <c r="D27" s="190" t="str">
        <f>'[1]прил.1'!D26</f>
        <v>1 03 02261 01 0000 110</v>
      </c>
      <c r="E27" s="190"/>
      <c r="F27" s="190"/>
      <c r="G27" s="190"/>
      <c r="H27" s="190"/>
      <c r="I27" s="35">
        <f>'[1]прил.1'!I26</f>
        <v>-778.3</v>
      </c>
      <c r="J27" s="35">
        <v>-800.3</v>
      </c>
      <c r="K27" s="35">
        <v>-847.4</v>
      </c>
    </row>
    <row r="28" spans="2:11" ht="15">
      <c r="B28" s="14" t="str">
        <f>'[1]прил.1'!B27</f>
        <v>НАЛОГ НА СОВОКУПНЫЙ ДОХОД</v>
      </c>
      <c r="C28" s="146">
        <f>'[1]прил.1'!C27</f>
        <v>182</v>
      </c>
      <c r="D28" s="190" t="str">
        <f>'[1]прил.1'!D27</f>
        <v>1 05 00000 00 0000 000</v>
      </c>
      <c r="E28" s="190"/>
      <c r="F28" s="190"/>
      <c r="G28" s="190"/>
      <c r="H28" s="190"/>
      <c r="I28" s="35">
        <f>'[1]прил.1'!I27</f>
        <v>395.8</v>
      </c>
      <c r="J28" s="35">
        <f>J29</f>
        <v>403.7</v>
      </c>
      <c r="K28" s="35">
        <f>K29</f>
        <v>411.7</v>
      </c>
    </row>
    <row r="29" spans="2:11" ht="15">
      <c r="B29" s="14" t="str">
        <f>'[1]прил.1'!B28</f>
        <v>Единый сельскохозяйственный  налог    </v>
      </c>
      <c r="C29" s="146">
        <f>'[1]прил.1'!C28</f>
        <v>182</v>
      </c>
      <c r="D29" s="190" t="str">
        <f>'[1]прил.1'!D28</f>
        <v>1 05 03000 01 0000 110</v>
      </c>
      <c r="E29" s="190"/>
      <c r="F29" s="190"/>
      <c r="G29" s="190"/>
      <c r="H29" s="190"/>
      <c r="I29" s="35">
        <f>'[1]прил.1'!I28</f>
        <v>395.8</v>
      </c>
      <c r="J29" s="35">
        <f>J30</f>
        <v>403.7</v>
      </c>
      <c r="K29" s="35">
        <f>K30</f>
        <v>411.7</v>
      </c>
    </row>
    <row r="30" spans="2:11" ht="60">
      <c r="B30" s="147" t="str">
        <f>'[1]прил.1'!B29</f>
        <v>Единый сельскохозяйственный налог (сумма платежа (перерасчеты, недоимка и задолженность по соответствующему платежу, в том числе по отмененному)</v>
      </c>
      <c r="C30" s="146">
        <f>'[1]прил.1'!C29</f>
        <v>182</v>
      </c>
      <c r="D30" s="190" t="str">
        <f>'[1]прил.1'!D29</f>
        <v>1 05 03010 01 1000 110</v>
      </c>
      <c r="E30" s="190"/>
      <c r="F30" s="190"/>
      <c r="G30" s="190"/>
      <c r="H30" s="190"/>
      <c r="I30" s="35">
        <f>'[1]прил.1'!I29</f>
        <v>395.8</v>
      </c>
      <c r="J30" s="35">
        <v>403.7</v>
      </c>
      <c r="K30" s="35">
        <v>411.7</v>
      </c>
    </row>
    <row r="31" spans="2:11" ht="15">
      <c r="B31" s="14" t="str">
        <f>'[1]прил.1'!B30</f>
        <v>НАЛОГИ НА ИМУЩЕСТВО</v>
      </c>
      <c r="C31" s="146">
        <f>'[1]прил.1'!C30</f>
        <v>182</v>
      </c>
      <c r="D31" s="190" t="str">
        <f>'[1]прил.1'!D30</f>
        <v>1 06 00000 00 0000 000</v>
      </c>
      <c r="E31" s="190"/>
      <c r="F31" s="190"/>
      <c r="G31" s="190"/>
      <c r="H31" s="190"/>
      <c r="I31" s="35">
        <f>'[1]прил.1'!I30</f>
        <v>63038</v>
      </c>
      <c r="J31" s="35">
        <f>J32+J35</f>
        <v>64298.9</v>
      </c>
      <c r="K31" s="35">
        <f>K32+K35</f>
        <v>65584.8</v>
      </c>
    </row>
    <row r="32" spans="2:11" ht="15">
      <c r="B32" s="18" t="str">
        <f>'[1]прил.1'!B31</f>
        <v>Налог на имущество физических лиц</v>
      </c>
      <c r="C32" s="146">
        <f>'[1]прил.1'!C31</f>
        <v>182</v>
      </c>
      <c r="D32" s="190" t="str">
        <f>'[1]прил.1'!D31</f>
        <v>1 06 0100 00 0000 110</v>
      </c>
      <c r="E32" s="190"/>
      <c r="F32" s="190"/>
      <c r="G32" s="190"/>
      <c r="H32" s="190"/>
      <c r="I32" s="35">
        <f>'[1]прил.1'!I31</f>
        <v>20308.2</v>
      </c>
      <c r="J32" s="35">
        <f>J33</f>
        <v>20714.4</v>
      </c>
      <c r="K32" s="35">
        <f>K33</f>
        <v>21128.7</v>
      </c>
    </row>
    <row r="33" spans="2:11" ht="60">
      <c r="B33" s="14" t="str">
        <f>'[1]прил.1'!B32</f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C33" s="146">
        <f>'[1]прил.1'!C32</f>
        <v>182</v>
      </c>
      <c r="D33" s="190" t="str">
        <f>'[1]прил.1'!D32</f>
        <v>1 06 01030 13 0000 110</v>
      </c>
      <c r="E33" s="190"/>
      <c r="F33" s="190"/>
      <c r="G33" s="190"/>
      <c r="H33" s="190"/>
      <c r="I33" s="35">
        <f>'[1]прил.1'!I32</f>
        <v>20308.2</v>
      </c>
      <c r="J33" s="35">
        <f>J34</f>
        <v>20714.4</v>
      </c>
      <c r="K33" s="35">
        <f>K34</f>
        <v>21128.7</v>
      </c>
    </row>
    <row r="34" spans="2:11" ht="105">
      <c r="B34" s="147" t="str">
        <f>'[1]прил.1'!B33</f>
        <v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v>
      </c>
      <c r="C34" s="146">
        <f>'[1]прил.1'!C33</f>
        <v>182</v>
      </c>
      <c r="D34" s="190" t="str">
        <f>'[1]прил.1'!D33</f>
        <v>1 06 01030 13 1000 110</v>
      </c>
      <c r="E34" s="190"/>
      <c r="F34" s="190"/>
      <c r="G34" s="190"/>
      <c r="H34" s="190"/>
      <c r="I34" s="35">
        <f>'[1]прил.1'!I33</f>
        <v>20308.2</v>
      </c>
      <c r="J34" s="35">
        <v>20714.4</v>
      </c>
      <c r="K34" s="35">
        <v>21128.7</v>
      </c>
    </row>
    <row r="35" spans="2:11" ht="15">
      <c r="B35" s="14" t="str">
        <f>'[1]прил.1'!B34</f>
        <v>Земельный налог        </v>
      </c>
      <c r="C35" s="146">
        <f>'[1]прил.1'!C34</f>
        <v>182</v>
      </c>
      <c r="D35" s="190" t="str">
        <f>'[1]прил.1'!D34</f>
        <v>1 06 06000 00 0000 110</v>
      </c>
      <c r="E35" s="190"/>
      <c r="F35" s="190"/>
      <c r="G35" s="190"/>
      <c r="H35" s="190"/>
      <c r="I35" s="35">
        <f>'[1]прил.1'!I34</f>
        <v>42729.8</v>
      </c>
      <c r="J35" s="35">
        <f>J37+J40</f>
        <v>43584.5</v>
      </c>
      <c r="K35" s="35">
        <f>K37+K40</f>
        <v>44456.100000000006</v>
      </c>
    </row>
    <row r="36" spans="2:11" ht="15">
      <c r="B36" s="14" t="str">
        <f>'[1]прил.1'!B35</f>
        <v>Земельный налог с юридических лиц</v>
      </c>
      <c r="C36" s="146">
        <f>'[1]прил.1'!C35</f>
        <v>182</v>
      </c>
      <c r="D36" s="190" t="str">
        <f>'[1]прил.1'!D35</f>
        <v>1 06 06033 00 0000 110</v>
      </c>
      <c r="E36" s="190"/>
      <c r="F36" s="190"/>
      <c r="G36" s="190"/>
      <c r="H36" s="190"/>
      <c r="I36" s="35">
        <f>'[1]прил.1'!I35</f>
        <v>21292.5</v>
      </c>
      <c r="J36" s="35">
        <f>J37</f>
        <v>21718.4</v>
      </c>
      <c r="K36" s="35">
        <f>K37</f>
        <v>22152.7</v>
      </c>
    </row>
    <row r="37" spans="2:11" ht="45">
      <c r="B37" s="14" t="str">
        <f>'[1]прил.1'!B36</f>
        <v>Земельный налог с организаций, обладающих земельным участком, расположенным в границах городских  поселений</v>
      </c>
      <c r="C37" s="146">
        <f>'[1]прил.1'!C36</f>
        <v>182</v>
      </c>
      <c r="D37" s="190" t="str">
        <f>'[1]прил.1'!D36</f>
        <v>1 06 06033 13 0000 110 </v>
      </c>
      <c r="E37" s="190"/>
      <c r="F37" s="190"/>
      <c r="G37" s="190"/>
      <c r="H37" s="190"/>
      <c r="I37" s="35">
        <f>'[1]прил.1'!I36</f>
        <v>21292.5</v>
      </c>
      <c r="J37" s="35">
        <f>J38</f>
        <v>21718.4</v>
      </c>
      <c r="K37" s="35">
        <f>K38</f>
        <v>22152.7</v>
      </c>
    </row>
    <row r="38" spans="2:11" ht="90">
      <c r="B38" s="147" t="str">
        <f>'[1]прил.1'!B37</f>
        <v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v>
      </c>
      <c r="C38" s="146">
        <f>'[1]прил.1'!C37</f>
        <v>182</v>
      </c>
      <c r="D38" s="190" t="str">
        <f>'[1]прил.1'!D37</f>
        <v>1 06 06033 13 1000 110 </v>
      </c>
      <c r="E38" s="190"/>
      <c r="F38" s="190"/>
      <c r="G38" s="190"/>
      <c r="H38" s="190"/>
      <c r="I38" s="35">
        <f>'[1]прил.1'!I37</f>
        <v>21292.5</v>
      </c>
      <c r="J38" s="35">
        <v>21718.4</v>
      </c>
      <c r="K38" s="35">
        <v>22152.7</v>
      </c>
    </row>
    <row r="39" spans="2:11" ht="75">
      <c r="B39" s="147" t="str">
        <f>'[1]прил.1'!B38</f>
        <v>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v>
      </c>
      <c r="C39" s="146">
        <f>'[1]прил.1'!C38</f>
        <v>182</v>
      </c>
      <c r="D39" s="190" t="str">
        <f>'[1]прил.1'!D38</f>
        <v>1 06 06033 13 3000 110 </v>
      </c>
      <c r="E39" s="190"/>
      <c r="F39" s="190"/>
      <c r="G39" s="190"/>
      <c r="H39" s="190"/>
      <c r="I39" s="35">
        <f>'[1]прил.1'!I38</f>
        <v>0</v>
      </c>
      <c r="J39" s="35">
        <v>0</v>
      </c>
      <c r="K39" s="35">
        <v>0</v>
      </c>
    </row>
    <row r="40" spans="2:11" ht="15">
      <c r="B40" s="14" t="str">
        <f>'[1]прил.1'!B39</f>
        <v>Земельный налог с физических лиц </v>
      </c>
      <c r="C40" s="146">
        <f>'[1]прил.1'!C39</f>
        <v>182</v>
      </c>
      <c r="D40" s="190" t="str">
        <f>'[1]прил.1'!D39</f>
        <v>1 06 06043 00 0000 110</v>
      </c>
      <c r="E40" s="190"/>
      <c r="F40" s="190"/>
      <c r="G40" s="190"/>
      <c r="H40" s="190"/>
      <c r="I40" s="35">
        <f>'[1]прил.1'!I39</f>
        <v>21437.3</v>
      </c>
      <c r="J40" s="35">
        <f>J41</f>
        <v>21866.1</v>
      </c>
      <c r="K40" s="35">
        <f>K41</f>
        <v>22303.4</v>
      </c>
    </row>
    <row r="41" spans="2:11" ht="45">
      <c r="B41" s="14" t="str">
        <f>'[1]прил.1'!B40</f>
        <v>Земельный налог с физических лиц, обладающих земельным участком, расположенным в границах  городских  поселений</v>
      </c>
      <c r="C41" s="146">
        <f>'[1]прил.1'!C40</f>
        <v>182</v>
      </c>
      <c r="D41" s="190" t="str">
        <f>'[1]прил.1'!D40</f>
        <v>1 06 06043 13 0000 110</v>
      </c>
      <c r="E41" s="190"/>
      <c r="F41" s="190"/>
      <c r="G41" s="190"/>
      <c r="H41" s="190"/>
      <c r="I41" s="35">
        <f>'[1]прил.1'!I40</f>
        <v>21437.3</v>
      </c>
      <c r="J41" s="35">
        <f>J42</f>
        <v>21866.1</v>
      </c>
      <c r="K41" s="35">
        <f>K42</f>
        <v>22303.4</v>
      </c>
    </row>
    <row r="42" spans="2:11" ht="90">
      <c r="B42" s="147" t="str">
        <f>'[1]прил.1'!B41</f>
        <v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v>
      </c>
      <c r="C42" s="146">
        <f>'[1]прил.1'!C41</f>
        <v>182</v>
      </c>
      <c r="D42" s="190" t="str">
        <f>'[1]прил.1'!D41</f>
        <v>1 06 06043 13 1000 110</v>
      </c>
      <c r="E42" s="190"/>
      <c r="F42" s="190"/>
      <c r="G42" s="190"/>
      <c r="H42" s="190"/>
      <c r="I42" s="35">
        <f>'[1]прил.1'!I41</f>
        <v>21437.3</v>
      </c>
      <c r="J42" s="35">
        <v>21866.1</v>
      </c>
      <c r="K42" s="35">
        <v>22303.4</v>
      </c>
    </row>
    <row r="43" spans="2:11" ht="75">
      <c r="B43" s="172" t="str">
        <f>'[1]прил.1'!B42</f>
        <v>Земельный налог с физических лиц,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v>
      </c>
      <c r="C43" s="146">
        <f>'[1]прил.1'!C42</f>
        <v>182</v>
      </c>
      <c r="D43" s="199" t="str">
        <f>'[1]прил.1'!D42</f>
        <v>1 06 06043 13 3000 110</v>
      </c>
      <c r="E43" s="200"/>
      <c r="F43" s="200"/>
      <c r="G43" s="200"/>
      <c r="H43" s="201"/>
      <c r="I43" s="35">
        <f>'[1]прил.1'!I42</f>
        <v>0</v>
      </c>
      <c r="J43" s="35">
        <v>0</v>
      </c>
      <c r="K43" s="35">
        <v>0</v>
      </c>
    </row>
    <row r="44" spans="2:11" ht="15">
      <c r="B44" s="14" t="str">
        <f>'[1]прил.1'!B43</f>
        <v>ГОСУДАРТВЕННАЯ ПОШЛИНА</v>
      </c>
      <c r="C44" s="150">
        <f>'[1]прил.1'!C43</f>
        <v>717</v>
      </c>
      <c r="D44" s="190" t="str">
        <f>'[1]прил.1'!D43</f>
        <v>1 08 00000 00 0000 000  </v>
      </c>
      <c r="E44" s="190"/>
      <c r="F44" s="190"/>
      <c r="G44" s="190"/>
      <c r="H44" s="190"/>
      <c r="I44" s="35">
        <f>'[1]прил.1'!I43</f>
        <v>40</v>
      </c>
      <c r="J44" s="35">
        <v>40</v>
      </c>
      <c r="K44" s="35">
        <v>40</v>
      </c>
    </row>
    <row r="45" spans="2:11" ht="60">
      <c r="B45" s="14" t="str">
        <f>'[1]прил.1'!B44</f>
        <v>Государственная пошлина на совершение нотариальных действий     (за исключение действий, совершаемых консульскими учреждениями РФ)  </v>
      </c>
      <c r="C45" s="150">
        <f>'[1]прил.1'!C44</f>
        <v>717</v>
      </c>
      <c r="D45" s="190" t="str">
        <f>'[1]прил.1'!D44</f>
        <v>1 08 04000 01 0000 110</v>
      </c>
      <c r="E45" s="190"/>
      <c r="F45" s="190"/>
      <c r="G45" s="190"/>
      <c r="H45" s="190"/>
      <c r="I45" s="35">
        <f>'[1]прил.1'!I44</f>
        <v>40</v>
      </c>
      <c r="J45" s="35">
        <v>40</v>
      </c>
      <c r="K45" s="35">
        <v>40</v>
      </c>
    </row>
    <row r="46" spans="2:12" ht="90">
      <c r="B46" s="14" t="str">
        <f>'[1]прил.1'!B45</f>
        <v>Государственная пошлина за совершение нотариальных действий должностными лицами органов местного самоуправления, уполномоченными  в соответствии законодательными актами Российской Федерации на совершение нотариальных действий </v>
      </c>
      <c r="C46" s="150">
        <f>'[1]прил.1'!C45</f>
        <v>717</v>
      </c>
      <c r="D46" s="190" t="str">
        <f>'[1]прил.1'!D45</f>
        <v>1 08 04020 01  1000 110</v>
      </c>
      <c r="E46" s="190"/>
      <c r="F46" s="190"/>
      <c r="G46" s="190"/>
      <c r="H46" s="190"/>
      <c r="I46" s="35">
        <f>'[1]прил.1'!I45</f>
        <v>40</v>
      </c>
      <c r="J46" s="35">
        <v>40</v>
      </c>
      <c r="K46" s="35">
        <v>40</v>
      </c>
      <c r="L46" s="173"/>
    </row>
    <row r="47" spans="2:12" ht="15">
      <c r="B47" s="86" t="s">
        <v>250</v>
      </c>
      <c r="C47" s="149">
        <v>182</v>
      </c>
      <c r="D47" s="191" t="s">
        <v>251</v>
      </c>
      <c r="E47" s="191"/>
      <c r="F47" s="191"/>
      <c r="G47" s="191"/>
      <c r="H47" s="191"/>
      <c r="I47" s="88">
        <f>I48</f>
        <v>0</v>
      </c>
      <c r="J47" s="35">
        <f>J48</f>
        <v>0</v>
      </c>
      <c r="K47" s="35">
        <f>K48</f>
        <v>0</v>
      </c>
      <c r="L47" s="173"/>
    </row>
    <row r="48" spans="2:12" ht="135">
      <c r="B48" s="151" t="s">
        <v>350</v>
      </c>
      <c r="C48" s="150">
        <v>182</v>
      </c>
      <c r="D48" s="190" t="s">
        <v>351</v>
      </c>
      <c r="E48" s="190"/>
      <c r="F48" s="190"/>
      <c r="G48" s="190"/>
      <c r="H48" s="190"/>
      <c r="I48" s="35">
        <v>0</v>
      </c>
      <c r="J48" s="35">
        <v>0</v>
      </c>
      <c r="K48" s="35">
        <v>0</v>
      </c>
      <c r="L48" s="173"/>
    </row>
    <row r="49" spans="2:12" ht="15">
      <c r="B49" s="151" t="str">
        <f>'[1]прил.1'!B46</f>
        <v>НЕНАЛОГОВЫЕ ДОХОДЫ</v>
      </c>
      <c r="C49" s="150"/>
      <c r="D49" s="190"/>
      <c r="E49" s="190"/>
      <c r="F49" s="190"/>
      <c r="G49" s="190"/>
      <c r="H49" s="190"/>
      <c r="I49" s="35">
        <f>'[1]прил.1'!I46</f>
        <v>23916</v>
      </c>
      <c r="J49" s="35">
        <f>J50+J60+J62+J67+J70</f>
        <v>16604.5</v>
      </c>
      <c r="K49" s="35">
        <f>K50+K60+K62+K67+K70</f>
        <v>16354.5</v>
      </c>
      <c r="L49" s="174"/>
    </row>
    <row r="50" spans="2:12" ht="60">
      <c r="B50" s="14" t="str">
        <f>'[1]прил.1'!B47</f>
        <v>ДОХОДЫ ОТ ИСПОЛЬЗОВАНИЯ ИМУЩЕСТВА, НАХОДЯЩЕГОСЯ В ГОСУДАРСТВЕННОЙ И МУНИЦИПАЛЬНОЙ СОБСТВЕННОСТИ</v>
      </c>
      <c r="C50" s="150"/>
      <c r="D50" s="190" t="str">
        <f>'[1]прил.1'!D47</f>
        <v>1 11 00000 00 0000 000</v>
      </c>
      <c r="E50" s="190"/>
      <c r="F50" s="190"/>
      <c r="G50" s="190"/>
      <c r="H50" s="190"/>
      <c r="I50" s="35">
        <f>'[1]прил.1'!I47</f>
        <v>12016</v>
      </c>
      <c r="J50" s="35">
        <f>J51</f>
        <v>13204.5</v>
      </c>
      <c r="K50" s="35">
        <f>K51</f>
        <v>12954.5</v>
      </c>
      <c r="L50" s="173"/>
    </row>
    <row r="51" spans="2:11" ht="90">
      <c r="B51" s="14" t="str">
        <f>'[1]прил.1'!B48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</v>
      </c>
      <c r="C51" s="150"/>
      <c r="D51" s="190" t="str">
        <f>'[1]прил.1'!D48</f>
        <v>1 11 00000 00 0000 120</v>
      </c>
      <c r="E51" s="190"/>
      <c r="F51" s="190"/>
      <c r="G51" s="190"/>
      <c r="H51" s="190"/>
      <c r="I51" s="35">
        <f>'[1]прил.1'!I48</f>
        <v>12016</v>
      </c>
      <c r="J51" s="35">
        <f>J52+J53+J54+J57+J58+J59</f>
        <v>13204.5</v>
      </c>
      <c r="K51" s="35">
        <f>K52+K53+K54+K57+K58+K59</f>
        <v>12954.5</v>
      </c>
    </row>
    <row r="52" spans="2:20" ht="47.25" customHeight="1">
      <c r="B52" s="14" t="str">
        <f>'[1]прил.1'!B49</f>
        <v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C52" s="150">
        <f>'[1]прил.1'!C49</f>
        <v>717</v>
      </c>
      <c r="D52" s="190" t="str">
        <f>'[1]прил.1'!D49</f>
        <v>1 11 05025 13 0000 120</v>
      </c>
      <c r="E52" s="190"/>
      <c r="F52" s="190"/>
      <c r="G52" s="190"/>
      <c r="H52" s="190"/>
      <c r="I52" s="35">
        <f>'[1]прил.1'!I49</f>
        <v>3000</v>
      </c>
      <c r="J52" s="35">
        <v>2500</v>
      </c>
      <c r="K52" s="35">
        <v>2500</v>
      </c>
      <c r="T52" s="47">
        <v>1000</v>
      </c>
    </row>
    <row r="53" spans="2:11" ht="94.5" customHeight="1">
      <c r="B53" s="14" t="str">
        <f>'[1]прил.1'!B50</f>
        <v>Прочие поступления от использования имущества, находящегося  в собственности городских поселений (за исключением имущества муниципальных бюджетных, автономных учреждений, а так же имущество муниципальных унитарных предприятий, в том числе казенных)</v>
      </c>
      <c r="C53" s="150">
        <f>'[1]прил.1'!C50</f>
        <v>717</v>
      </c>
      <c r="D53" s="190" t="str">
        <f>'[1]прил.1'!D50</f>
        <v>1 11 09045 13 0000 120</v>
      </c>
      <c r="E53" s="190"/>
      <c r="F53" s="190"/>
      <c r="G53" s="190"/>
      <c r="H53" s="190"/>
      <c r="I53" s="35">
        <f>'[1]прил.1'!I50</f>
        <v>2000</v>
      </c>
      <c r="J53" s="35">
        <v>1000</v>
      </c>
      <c r="K53" s="35">
        <v>750</v>
      </c>
    </row>
    <row r="54" spans="2:11" ht="63" customHeight="1">
      <c r="B54" s="14" t="str">
        <f>'[1]прил.1'!B51</f>
        <v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</v>
      </c>
      <c r="C54" s="150">
        <f>'[1]прил.1'!C51</f>
        <v>813</v>
      </c>
      <c r="D54" s="190" t="str">
        <f>'[1]прил.1'!D51</f>
        <v>1 11 05013 13 0000 120</v>
      </c>
      <c r="E54" s="190"/>
      <c r="F54" s="190"/>
      <c r="G54" s="190"/>
      <c r="H54" s="190"/>
      <c r="I54" s="35">
        <f>'[1]прил.1'!I51</f>
        <v>7000</v>
      </c>
      <c r="J54" s="35">
        <v>7000</v>
      </c>
      <c r="K54" s="35">
        <v>7000</v>
      </c>
    </row>
    <row r="55" spans="2:11" ht="90">
      <c r="B55" s="147" t="str">
        <f>'[1]прил.1'!B52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v>
      </c>
      <c r="C55" s="150">
        <f>'[1]прил.1'!C52</f>
        <v>813</v>
      </c>
      <c r="D55" s="190" t="str">
        <f>'[1]прил.1'!D52</f>
        <v>1 11 05013 13 0016 120</v>
      </c>
      <c r="E55" s="190"/>
      <c r="F55" s="190"/>
      <c r="G55" s="190"/>
      <c r="H55" s="190"/>
      <c r="I55" s="35">
        <f>'[1]прил.1'!I52</f>
        <v>3500</v>
      </c>
      <c r="J55" s="35">
        <v>3500</v>
      </c>
      <c r="K55" s="35">
        <v>3500</v>
      </c>
    </row>
    <row r="56" spans="2:11" ht="90">
      <c r="B56" s="147" t="str">
        <f>'[1]прил.1'!B53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v>
      </c>
      <c r="C56" s="150">
        <f>'[1]прил.1'!C53</f>
        <v>813</v>
      </c>
      <c r="D56" s="190" t="str">
        <f>'[1]прил.1'!D53</f>
        <v>1 11 05013 13 0019 120</v>
      </c>
      <c r="E56" s="190"/>
      <c r="F56" s="190"/>
      <c r="G56" s="190"/>
      <c r="H56" s="190"/>
      <c r="I56" s="35">
        <f>'[1]прил.1'!I53</f>
        <v>3500</v>
      </c>
      <c r="J56" s="35">
        <v>3500</v>
      </c>
      <c r="K56" s="35">
        <v>3500</v>
      </c>
    </row>
    <row r="57" spans="2:11" ht="105">
      <c r="B57" s="147" t="str">
        <f>'[1]прил.1'!B54</f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</v>
      </c>
      <c r="C57" s="150">
        <f>'[1]прил.1'!C54</f>
        <v>813</v>
      </c>
      <c r="D57" s="190" t="str">
        <f>'[1]прил.1'!D54</f>
        <v>1 11 05313 13 0000 120</v>
      </c>
      <c r="E57" s="190"/>
      <c r="F57" s="190"/>
      <c r="G57" s="190"/>
      <c r="H57" s="190"/>
      <c r="I57" s="35">
        <f>'[1]прил.1'!I54</f>
        <v>5</v>
      </c>
      <c r="J57" s="35">
        <v>5</v>
      </c>
      <c r="K57" s="35">
        <v>5</v>
      </c>
    </row>
    <row r="58" spans="2:11" ht="105">
      <c r="B58" s="147" t="str">
        <f>'[1]прил.1'!B55</f>
        <v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</v>
      </c>
      <c r="C58" s="150">
        <f>'[1]прил.1'!C55</f>
        <v>717</v>
      </c>
      <c r="D58" s="199" t="str">
        <f>'[1]прил.1'!D55</f>
        <v>1 11 05314 13 0000 120</v>
      </c>
      <c r="E58" s="200"/>
      <c r="F58" s="200"/>
      <c r="G58" s="200"/>
      <c r="H58" s="201"/>
      <c r="I58" s="35">
        <f>'[1]прил.1'!I55</f>
        <v>11</v>
      </c>
      <c r="J58" s="35">
        <v>11</v>
      </c>
      <c r="K58" s="35">
        <v>11</v>
      </c>
    </row>
    <row r="59" spans="2:11" ht="120">
      <c r="B59" s="147" t="s">
        <v>477</v>
      </c>
      <c r="C59" s="150">
        <v>717</v>
      </c>
      <c r="D59" s="199" t="s">
        <v>478</v>
      </c>
      <c r="E59" s="200"/>
      <c r="F59" s="200"/>
      <c r="G59" s="200"/>
      <c r="H59" s="201"/>
      <c r="I59" s="88">
        <v>2688.5</v>
      </c>
      <c r="J59" s="35">
        <v>2688.5</v>
      </c>
      <c r="K59" s="35">
        <v>2688.5</v>
      </c>
    </row>
    <row r="60" spans="2:11" ht="45">
      <c r="B60" s="14" t="str">
        <f>'[1]прил.1'!B56</f>
        <v>ДОХОДЫ ОТ ОКАЗАНИЯ ПЛАТНЫХ УЛУГ (РАБОТ) И КОМПЕНАЦИИ ЗАТРАТ ГОСУДАРТВА </v>
      </c>
      <c r="C60" s="150">
        <f>'[1]прил.1'!C56</f>
        <v>717</v>
      </c>
      <c r="D60" s="190" t="str">
        <f>'[1]прил.1'!D56</f>
        <v>1 13 00000 00 0000 000</v>
      </c>
      <c r="E60" s="190"/>
      <c r="F60" s="190"/>
      <c r="G60" s="190"/>
      <c r="H60" s="190"/>
      <c r="I60" s="35">
        <f>'[1]прил.1'!I56</f>
        <v>500</v>
      </c>
      <c r="J60" s="35">
        <v>500</v>
      </c>
      <c r="K60" s="35">
        <v>500</v>
      </c>
    </row>
    <row r="61" spans="2:11" ht="45">
      <c r="B61" s="14" t="str">
        <f>'[1]прил.1'!B57</f>
        <v>Прочие доходы от оказания платных услуг (работ) получателями средств бюджетов городских поселений </v>
      </c>
      <c r="C61" s="150">
        <f>'[1]прил.1'!C57</f>
        <v>717</v>
      </c>
      <c r="D61" s="190" t="str">
        <f>'[1]прил.1'!D57</f>
        <v>1 13 01995  13 0000 130</v>
      </c>
      <c r="E61" s="190"/>
      <c r="F61" s="190"/>
      <c r="G61" s="190"/>
      <c r="H61" s="190"/>
      <c r="I61" s="35">
        <f>'[1]прил.1'!I57</f>
        <v>500</v>
      </c>
      <c r="J61" s="35">
        <v>500</v>
      </c>
      <c r="K61" s="35">
        <v>500</v>
      </c>
    </row>
    <row r="62" spans="2:11" ht="30">
      <c r="B62" s="14" t="str">
        <f>'[1]прил.1'!B58</f>
        <v>ДОХОДЫ ОТ ПРОДАЖИ МАТЕРИАЛЬНЫХ И НЕМАТЕРИАЛЬНЫХ АКТИВОВ  </v>
      </c>
      <c r="C62" s="150">
        <f>'[1]прил.1'!C58</f>
        <v>717</v>
      </c>
      <c r="D62" s="190" t="str">
        <f>'[1]прил.1'!D58</f>
        <v>1 14 00000 00 0000 000</v>
      </c>
      <c r="E62" s="190"/>
      <c r="F62" s="190"/>
      <c r="G62" s="190"/>
      <c r="H62" s="190"/>
      <c r="I62" s="35">
        <f>'[1]прил.1'!I58</f>
        <v>8500</v>
      </c>
      <c r="J62" s="35">
        <f>J63+J64+J65+J66</f>
        <v>2800</v>
      </c>
      <c r="K62" s="35">
        <f>K63+K64+K65+K66</f>
        <v>2800</v>
      </c>
    </row>
    <row r="63" spans="2:11" ht="105">
      <c r="B63" s="14" t="str">
        <f>'[1]прил.1'!B59</f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v>
      </c>
      <c r="C63" s="150">
        <f>'[1]прил.1'!C59</f>
        <v>717</v>
      </c>
      <c r="D63" s="199" t="str">
        <f>'[1]прил.1'!D59</f>
        <v>1 14 02053 13 0000 410</v>
      </c>
      <c r="E63" s="200"/>
      <c r="F63" s="200"/>
      <c r="G63" s="200"/>
      <c r="H63" s="201"/>
      <c r="I63" s="35">
        <f>'[1]прил.1'!I59</f>
        <v>500</v>
      </c>
      <c r="J63" s="35">
        <v>0</v>
      </c>
      <c r="K63" s="35">
        <v>0</v>
      </c>
    </row>
    <row r="64" spans="2:11" ht="75">
      <c r="B64" s="14" t="str">
        <f>'[1]прил.1'!B60</f>
        <v>Доходы от продажи земельных участков, государственная собственность, находящихся в собственности городских поселений (за исключением земельных участков муниципальных бюджетных и автономных учреждений)</v>
      </c>
      <c r="C64" s="150">
        <f>'[1]прил.1'!C60</f>
        <v>717</v>
      </c>
      <c r="D64" s="190" t="str">
        <f>'[1]прил.1'!D60</f>
        <v>1 14 06025 13 0000 430</v>
      </c>
      <c r="E64" s="190"/>
      <c r="F64" s="190"/>
      <c r="G64" s="190"/>
      <c r="H64" s="190"/>
      <c r="I64" s="35">
        <f>'[1]прил.1'!I60</f>
        <v>8000</v>
      </c>
      <c r="J64" s="35">
        <v>0</v>
      </c>
      <c r="K64" s="35">
        <v>0</v>
      </c>
    </row>
    <row r="65" spans="2:11" ht="60">
      <c r="B65" s="14" t="str">
        <f>'[1]прил.1'!B62</f>
        <v>Доходы от продажи земельных участков, государственная собственность,  на которые не разграничена  и которые расположены в границах городских поселений </v>
      </c>
      <c r="C65" s="150">
        <f>'[1]прил.1'!C62</f>
        <v>813</v>
      </c>
      <c r="D65" s="190" t="str">
        <f>'[1]прил.1'!D62</f>
        <v>1 14 06013 13 0000 430</v>
      </c>
      <c r="E65" s="190"/>
      <c r="F65" s="190"/>
      <c r="G65" s="190"/>
      <c r="H65" s="190"/>
      <c r="I65" s="35">
        <f>'[1]прил.1'!I62</f>
        <v>800</v>
      </c>
      <c r="J65" s="35">
        <v>800</v>
      </c>
      <c r="K65" s="35">
        <v>800</v>
      </c>
    </row>
    <row r="66" spans="2:11" ht="90">
      <c r="B66" s="147" t="str">
        <f>'[1]прил.1'!B63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v>
      </c>
      <c r="C66" s="150">
        <f>'[1]прил.1'!C63</f>
        <v>813</v>
      </c>
      <c r="D66" s="190" t="str">
        <f>'[1]прил.1'!D63</f>
        <v>1 14 06313 13 0000 430</v>
      </c>
      <c r="E66" s="190"/>
      <c r="F66" s="190"/>
      <c r="G66" s="190"/>
      <c r="H66" s="190"/>
      <c r="I66" s="35">
        <f>'[1]прил.1'!I63</f>
        <v>2000</v>
      </c>
      <c r="J66" s="35">
        <v>2000</v>
      </c>
      <c r="K66" s="35">
        <v>2000</v>
      </c>
    </row>
    <row r="67" spans="2:11" ht="15">
      <c r="B67" s="14" t="str">
        <f>'[1]прил.1'!B64</f>
        <v>Штрафы, санкции, возмещение ущерба</v>
      </c>
      <c r="C67" s="150">
        <f>'[1]прил.1'!C64</f>
        <v>717</v>
      </c>
      <c r="D67" s="190" t="str">
        <f>'[1]прил.1'!D64</f>
        <v>1 16 00000 00 0000 000</v>
      </c>
      <c r="E67" s="190"/>
      <c r="F67" s="190"/>
      <c r="G67" s="190"/>
      <c r="H67" s="190"/>
      <c r="I67" s="35">
        <f>'[1]прил.1'!I64</f>
        <v>0</v>
      </c>
      <c r="J67" s="35">
        <f>J68+J69</f>
        <v>0</v>
      </c>
      <c r="K67" s="35">
        <f>K68+K69</f>
        <v>0</v>
      </c>
    </row>
    <row r="68" spans="2:11" ht="90">
      <c r="B68" s="14" t="str">
        <f>'[1]прил.1'!B65</f>
        <v>Административные штрафы, установленные Главой 7 Кодекса РФ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контроля.</v>
      </c>
      <c r="C68" s="150">
        <f>'[1]прил.1'!C65</f>
        <v>717</v>
      </c>
      <c r="D68" s="190" t="str">
        <f>'[1]прил.1'!D65</f>
        <v>1 16 01074 01 0000 140</v>
      </c>
      <c r="E68" s="190"/>
      <c r="F68" s="190"/>
      <c r="G68" s="190"/>
      <c r="H68" s="190"/>
      <c r="I68" s="35">
        <f>'[1]прил.1'!I65</f>
        <v>0</v>
      </c>
      <c r="J68" s="35">
        <v>0</v>
      </c>
      <c r="K68" s="35">
        <v>0</v>
      </c>
    </row>
    <row r="69" spans="2:11" ht="90">
      <c r="B69" s="14" t="str">
        <f>'[1]прил.1'!B66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учреждением)гор. посел.</v>
      </c>
      <c r="C69" s="150">
        <f>'[1]прил.1'!C66</f>
        <v>717</v>
      </c>
      <c r="D69" s="190" t="str">
        <f>'[1]прил.1'!D66</f>
        <v>1 16 07090 13 0000 140</v>
      </c>
      <c r="E69" s="190"/>
      <c r="F69" s="190"/>
      <c r="G69" s="190"/>
      <c r="H69" s="190"/>
      <c r="I69" s="35">
        <f>'[1]прил.1'!I66</f>
        <v>0</v>
      </c>
      <c r="J69" s="35">
        <v>0</v>
      </c>
      <c r="K69" s="35">
        <v>0</v>
      </c>
    </row>
    <row r="70" spans="2:11" ht="30">
      <c r="B70" s="151" t="str">
        <f>'[1]прил.1'!B69</f>
        <v>Прочие неналоговые доходы бюджетов городских поселений</v>
      </c>
      <c r="C70" s="150">
        <f>'[1]прил.1'!C69</f>
        <v>717</v>
      </c>
      <c r="D70" s="190" t="str">
        <f>'[1]прил.1'!D69</f>
        <v>1 17 05050 13 0000 180</v>
      </c>
      <c r="E70" s="190"/>
      <c r="F70" s="190"/>
      <c r="G70" s="190"/>
      <c r="H70" s="190"/>
      <c r="I70" s="35">
        <f>'[1]прил.1'!I69</f>
        <v>100</v>
      </c>
      <c r="J70" s="35">
        <v>100</v>
      </c>
      <c r="K70" s="35">
        <v>100</v>
      </c>
    </row>
    <row r="71" spans="2:11" ht="15">
      <c r="B71" s="14" t="str">
        <f>'[1]прил.1'!B70</f>
        <v>БЕЗВОЗМЕЗДНЫЕ ПОСТУПЛЕНИЯ</v>
      </c>
      <c r="C71" s="150">
        <f>'[1]прил.1'!C70</f>
        <v>717</v>
      </c>
      <c r="D71" s="190" t="str">
        <f>'[1]прил.1'!D70</f>
        <v>2 00 00000 00 0000 000</v>
      </c>
      <c r="E71" s="190"/>
      <c r="F71" s="190"/>
      <c r="G71" s="190"/>
      <c r="H71" s="190"/>
      <c r="I71" s="35">
        <f>'[1]прил.1'!I70</f>
        <v>197090.2</v>
      </c>
      <c r="J71" s="35">
        <f>J72</f>
        <v>104269.2</v>
      </c>
      <c r="K71" s="35">
        <f>K72</f>
        <v>95121.5</v>
      </c>
    </row>
    <row r="72" spans="2:11" ht="30">
      <c r="B72" s="14" t="str">
        <f>'[1]прил.1'!B71</f>
        <v>Безвозмездные поступления от других бюджетов бюджетной системы Российской Федерации</v>
      </c>
      <c r="C72" s="150">
        <f>'[1]прил.1'!C71</f>
        <v>717</v>
      </c>
      <c r="D72" s="190" t="str">
        <f>'[1]прил.1'!D71</f>
        <v>2 02 00000 00 0000 000</v>
      </c>
      <c r="E72" s="190"/>
      <c r="F72" s="190"/>
      <c r="G72" s="190"/>
      <c r="H72" s="190"/>
      <c r="I72" s="35">
        <f>'[1]прил.1'!I71</f>
        <v>197090.2</v>
      </c>
      <c r="J72" s="35">
        <f>J77+J78</f>
        <v>104269.2</v>
      </c>
      <c r="K72" s="35">
        <f>K77+K78</f>
        <v>95121.5</v>
      </c>
    </row>
    <row r="73" spans="2:11" ht="30">
      <c r="B73" s="14" t="str">
        <f>'[1]прил.1'!B72</f>
        <v> Дотации бюджетам бюджетной системы Российской Федерации</v>
      </c>
      <c r="C73" s="150">
        <f>'[1]прил.1'!C72</f>
        <v>717</v>
      </c>
      <c r="D73" s="190" t="str">
        <f>'[1]прил.1'!D72</f>
        <v>2 02 10000 00 0000 150</v>
      </c>
      <c r="E73" s="190"/>
      <c r="F73" s="190"/>
      <c r="G73" s="190"/>
      <c r="H73" s="190"/>
      <c r="I73" s="35">
        <f>'[1]прил.1'!I72</f>
        <v>10854</v>
      </c>
      <c r="J73" s="35">
        <f>J74</f>
        <v>0</v>
      </c>
      <c r="K73" s="35">
        <v>0</v>
      </c>
    </row>
    <row r="74" spans="2:11" ht="45">
      <c r="B74" s="14" t="str">
        <f>'[1]прил.1'!B73</f>
        <v>Дотации бюджетам городских поселений на выравнивание бюджетной обеспеченности из бюджетов муниципальных районов</v>
      </c>
      <c r="C74" s="150">
        <f>'[1]прил.1'!C73</f>
        <v>717</v>
      </c>
      <c r="D74" s="190" t="str">
        <f>'[1]прил.1'!D73</f>
        <v>2 02 16001 13 0000 150</v>
      </c>
      <c r="E74" s="190"/>
      <c r="F74" s="190"/>
      <c r="G74" s="190"/>
      <c r="H74" s="190"/>
      <c r="I74" s="35">
        <f>'[1]прил.1'!I73</f>
        <v>10854</v>
      </c>
      <c r="J74" s="35">
        <v>0</v>
      </c>
      <c r="K74" s="35">
        <v>0</v>
      </c>
    </row>
    <row r="75" spans="2:11" ht="45">
      <c r="B75" s="14" t="str">
        <f>'[1]прил.1'!B75</f>
        <v> Субсидии бюджетам городских поселений на строительство и реконструкцию (модернизацию) объектов питьевого водоснабжения</v>
      </c>
      <c r="C75" s="150">
        <f>'[1]прил.1'!C75</f>
        <v>717</v>
      </c>
      <c r="D75" s="199" t="str">
        <f>'[1]прил.1'!D75</f>
        <v>2 02 25243 13 0000 150</v>
      </c>
      <c r="E75" s="200"/>
      <c r="F75" s="200"/>
      <c r="G75" s="200"/>
      <c r="H75" s="201"/>
      <c r="I75" s="35">
        <f>'[1]прил.1'!I75</f>
        <v>82086.1</v>
      </c>
      <c r="J75" s="35">
        <v>0</v>
      </c>
      <c r="K75" s="35">
        <v>0</v>
      </c>
    </row>
    <row r="76" spans="2:11" ht="110.25" customHeight="1">
      <c r="B76" s="14" t="str">
        <f>'[1]прил.1'!B76</f>
        <v> Субсидии бюджетам городских поселений на реализацию программ формирования современной городской среды</v>
      </c>
      <c r="C76" s="150">
        <f>'[1]прил.1'!C76</f>
        <v>717</v>
      </c>
      <c r="D76" s="199" t="str">
        <f>'[1]прил.1'!D76</f>
        <v>2 02 25555 13 0000 150</v>
      </c>
      <c r="E76" s="200"/>
      <c r="F76" s="200"/>
      <c r="G76" s="200"/>
      <c r="H76" s="201"/>
      <c r="I76" s="35">
        <f>'[1]прил.1'!I76</f>
        <v>0</v>
      </c>
      <c r="J76" s="35">
        <v>0</v>
      </c>
      <c r="K76" s="35">
        <v>0</v>
      </c>
    </row>
    <row r="77" spans="2:11" ht="15">
      <c r="B77" s="14" t="str">
        <f>'[1]прил.1'!B77</f>
        <v> Прочие субсидии бюджетам городских поселений</v>
      </c>
      <c r="C77" s="150">
        <f>'[1]прил.1'!C77</f>
        <v>717</v>
      </c>
      <c r="D77" s="190" t="str">
        <f>'[1]прил.1'!D77</f>
        <v>2 02 29999 13 0000 150</v>
      </c>
      <c r="E77" s="190"/>
      <c r="F77" s="190"/>
      <c r="G77" s="190"/>
      <c r="H77" s="190"/>
      <c r="I77" s="35">
        <f>'[1]прил.1'!I77</f>
        <v>100830.8</v>
      </c>
      <c r="J77" s="35">
        <v>100830.8</v>
      </c>
      <c r="K77" s="35">
        <v>95000</v>
      </c>
    </row>
    <row r="78" spans="2:11" ht="30">
      <c r="B78" s="14" t="str">
        <f>'[1]прил.1'!B78</f>
        <v>Субвенции бюджетам бюджетной системы Российской Федерации</v>
      </c>
      <c r="C78" s="150">
        <f>'[1]прил.1'!C78</f>
        <v>717</v>
      </c>
      <c r="D78" s="190" t="str">
        <f>'[1]прил.1'!D78</f>
        <v>2 02 30000 00 0000 150</v>
      </c>
      <c r="E78" s="190"/>
      <c r="F78" s="190"/>
      <c r="G78" s="190"/>
      <c r="H78" s="190"/>
      <c r="I78" s="35">
        <f>'[1]прил.1'!I78</f>
        <v>3319.3</v>
      </c>
      <c r="J78" s="35">
        <f>J79+J80</f>
        <v>3438.4</v>
      </c>
      <c r="K78" s="35">
        <f>K79+K80</f>
        <v>121.5</v>
      </c>
    </row>
    <row r="79" spans="2:11" ht="60">
      <c r="B79" s="14" t="str">
        <f>'[1]прил.1'!B80</f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C79" s="150">
        <f>'[1]прил.1'!C80</f>
        <v>717</v>
      </c>
      <c r="D79" s="190" t="str">
        <f>'[1]прил.1'!D80</f>
        <v>2 02 35118 13 0000 150</v>
      </c>
      <c r="E79" s="190"/>
      <c r="F79" s="190"/>
      <c r="G79" s="190"/>
      <c r="H79" s="190"/>
      <c r="I79" s="35">
        <f>'[1]прил.1'!I80</f>
        <v>3197.8</v>
      </c>
      <c r="J79" s="35">
        <v>3316.9</v>
      </c>
      <c r="K79" s="35">
        <v>0</v>
      </c>
    </row>
    <row r="80" spans="2:11" ht="46.5" customHeight="1">
      <c r="B80" s="14" t="s">
        <v>452</v>
      </c>
      <c r="C80" s="150">
        <v>717</v>
      </c>
      <c r="D80" s="190" t="s">
        <v>265</v>
      </c>
      <c r="E80" s="190"/>
      <c r="F80" s="190"/>
      <c r="G80" s="190"/>
      <c r="H80" s="190"/>
      <c r="I80" s="35" t="e">
        <f>'[1]прил.1'!#REF!</f>
        <v>#REF!</v>
      </c>
      <c r="J80" s="35">
        <v>121.5</v>
      </c>
      <c r="K80" s="35">
        <v>121.5</v>
      </c>
    </row>
    <row r="81" spans="2:11" ht="30" customHeight="1">
      <c r="B81" s="14" t="str">
        <f>'[1]прил.1'!B83</f>
        <v>Итого</v>
      </c>
      <c r="C81" s="14"/>
      <c r="D81" s="190"/>
      <c r="E81" s="190"/>
      <c r="F81" s="190"/>
      <c r="G81" s="190"/>
      <c r="H81" s="190"/>
      <c r="I81" s="35">
        <f>'[1]прил.1'!I83</f>
        <v>323888.10000000003</v>
      </c>
      <c r="J81" s="35">
        <f>J6+J71</f>
        <v>226672.7</v>
      </c>
      <c r="K81" s="35">
        <f>K6+K71</f>
        <v>220342.2</v>
      </c>
    </row>
    <row r="82" spans="2:9" ht="23.25" customHeight="1">
      <c r="B82" s="157"/>
      <c r="C82" s="157"/>
      <c r="D82" s="158"/>
      <c r="E82" s="158"/>
      <c r="F82" s="158"/>
      <c r="G82" s="158"/>
      <c r="H82" s="158"/>
      <c r="I82" s="158"/>
    </row>
    <row r="83" spans="2:9" ht="23.25" customHeight="1">
      <c r="B83" s="157"/>
      <c r="C83" s="157"/>
      <c r="D83" s="158"/>
      <c r="E83" s="158"/>
      <c r="F83" s="158"/>
      <c r="G83" s="158"/>
      <c r="H83" s="158"/>
      <c r="I83" s="158"/>
    </row>
    <row r="84" spans="2:11" ht="23.25" customHeight="1">
      <c r="B84" s="157"/>
      <c r="C84" s="157"/>
      <c r="D84" s="158"/>
      <c r="E84" s="158"/>
      <c r="F84" s="158"/>
      <c r="G84" s="158"/>
      <c r="H84" s="158"/>
      <c r="I84" s="158"/>
      <c r="J84" s="55"/>
      <c r="K84" s="55"/>
    </row>
    <row r="85" spans="2:9" ht="23.25" customHeight="1">
      <c r="B85" s="157"/>
      <c r="C85" s="157"/>
      <c r="D85" s="158"/>
      <c r="E85" s="158"/>
      <c r="F85" s="158"/>
      <c r="G85" s="158"/>
      <c r="H85" s="158"/>
      <c r="I85" s="158"/>
    </row>
    <row r="86" spans="2:9" ht="23.25" customHeight="1">
      <c r="B86" s="157"/>
      <c r="C86" s="157"/>
      <c r="D86" s="158"/>
      <c r="E86" s="158"/>
      <c r="F86" s="158"/>
      <c r="G86" s="158"/>
      <c r="H86" s="158"/>
      <c r="I86" s="158"/>
    </row>
    <row r="87" spans="2:9" ht="23.25" customHeight="1">
      <c r="B87" s="157"/>
      <c r="C87" s="157"/>
      <c r="D87" s="158"/>
      <c r="E87" s="158"/>
      <c r="F87" s="158"/>
      <c r="G87" s="158"/>
      <c r="H87" s="158"/>
      <c r="I87" s="158"/>
    </row>
    <row r="88" spans="2:9" ht="15" customHeight="1">
      <c r="B88" s="159"/>
      <c r="C88" s="159"/>
      <c r="D88" s="168"/>
      <c r="E88" s="160"/>
      <c r="F88" s="160"/>
      <c r="G88" s="160"/>
      <c r="H88" s="160"/>
      <c r="I88" s="160"/>
    </row>
    <row r="89" spans="2:9" ht="15" customHeight="1">
      <c r="B89" s="159"/>
      <c r="C89" s="159"/>
      <c r="D89" s="168"/>
      <c r="E89" s="158"/>
      <c r="F89" s="158"/>
      <c r="G89" s="158"/>
      <c r="H89" s="158"/>
      <c r="I89" s="158"/>
    </row>
    <row r="90" spans="2:9" ht="15" customHeight="1">
      <c r="B90" s="157"/>
      <c r="C90" s="157"/>
      <c r="D90" s="168"/>
      <c r="E90" s="158"/>
      <c r="F90" s="158"/>
      <c r="G90" s="158"/>
      <c r="H90" s="158"/>
      <c r="I90" s="158"/>
    </row>
    <row r="91" ht="15" customHeight="1"/>
    <row r="92" ht="21" customHeight="1"/>
    <row r="93" ht="27" customHeight="1"/>
    <row r="94" spans="2:9" ht="30" customHeight="1">
      <c r="B94" s="157"/>
      <c r="C94" s="157"/>
      <c r="D94" s="158"/>
      <c r="E94" s="158"/>
      <c r="F94" s="158"/>
      <c r="G94" s="158"/>
      <c r="H94" s="158"/>
      <c r="I94" s="158"/>
    </row>
    <row r="95" spans="2:9" ht="32.25" customHeight="1">
      <c r="B95" s="159"/>
      <c r="C95" s="159"/>
      <c r="D95" s="158"/>
      <c r="E95" s="158"/>
      <c r="F95" s="158"/>
      <c r="G95" s="158"/>
      <c r="H95" s="158"/>
      <c r="I95" s="158"/>
    </row>
    <row r="96" spans="2:9" ht="30.75" customHeight="1">
      <c r="B96" s="159"/>
      <c r="C96" s="159"/>
      <c r="D96" s="160"/>
      <c r="E96" s="160"/>
      <c r="F96" s="158"/>
      <c r="G96" s="160"/>
      <c r="H96" s="160"/>
      <c r="I96" s="160"/>
    </row>
    <row r="97" spans="2:9" ht="15.75" customHeight="1">
      <c r="B97" s="157"/>
      <c r="C97" s="157"/>
      <c r="D97" s="160"/>
      <c r="E97" s="158"/>
      <c r="F97" s="158"/>
      <c r="G97" s="158"/>
      <c r="H97" s="59"/>
      <c r="I97" s="59"/>
    </row>
    <row r="98" spans="2:9" ht="18" customHeight="1">
      <c r="B98" s="157"/>
      <c r="C98" s="157"/>
      <c r="D98" s="158"/>
      <c r="E98" s="158"/>
      <c r="F98" s="158"/>
      <c r="G98" s="158"/>
      <c r="H98" s="59"/>
      <c r="I98" s="59"/>
    </row>
    <row r="99" spans="2:9" ht="17.25" customHeight="1">
      <c r="B99" s="157"/>
      <c r="C99" s="157"/>
      <c r="D99" s="158"/>
      <c r="E99" s="158"/>
      <c r="F99" s="158"/>
      <c r="G99" s="158"/>
      <c r="H99" s="60"/>
      <c r="I99" s="60"/>
    </row>
    <row r="100" spans="2:9" ht="17.25" customHeight="1">
      <c r="B100" s="157"/>
      <c r="C100" s="157"/>
      <c r="D100" s="158"/>
      <c r="E100" s="158"/>
      <c r="F100" s="158"/>
      <c r="G100" s="158"/>
      <c r="H100" s="60"/>
      <c r="I100" s="60"/>
    </row>
    <row r="101" spans="2:9" ht="17.25" customHeight="1">
      <c r="B101" s="157"/>
      <c r="C101" s="157"/>
      <c r="D101" s="158"/>
      <c r="E101" s="158"/>
      <c r="F101" s="158"/>
      <c r="G101" s="158"/>
      <c r="H101" s="60"/>
      <c r="I101" s="60"/>
    </row>
    <row r="102" spans="2:9" ht="17.25" customHeight="1">
      <c r="B102" s="157"/>
      <c r="C102" s="157"/>
      <c r="D102" s="158"/>
      <c r="E102" s="158"/>
      <c r="F102" s="158"/>
      <c r="G102" s="158"/>
      <c r="H102" s="60"/>
      <c r="I102" s="60"/>
    </row>
    <row r="103" spans="2:9" ht="17.25" customHeight="1">
      <c r="B103" s="157"/>
      <c r="C103" s="157"/>
      <c r="D103" s="158"/>
      <c r="E103" s="158"/>
      <c r="F103" s="158"/>
      <c r="G103" s="158"/>
      <c r="H103" s="60"/>
      <c r="I103" s="60"/>
    </row>
    <row r="104" spans="2:9" ht="17.25" customHeight="1">
      <c r="B104" s="157"/>
      <c r="C104" s="157"/>
      <c r="D104" s="158"/>
      <c r="E104" s="158"/>
      <c r="F104" s="158"/>
      <c r="G104" s="158"/>
      <c r="H104" s="60"/>
      <c r="I104" s="60"/>
    </row>
    <row r="105" spans="2:9" ht="17.25" customHeight="1">
      <c r="B105" s="157"/>
      <c r="C105" s="157"/>
      <c r="D105" s="158"/>
      <c r="E105" s="158"/>
      <c r="F105" s="158"/>
      <c r="G105" s="158"/>
      <c r="H105" s="60"/>
      <c r="I105" s="60"/>
    </row>
    <row r="106" spans="2:9" ht="17.25" customHeight="1">
      <c r="B106" s="157"/>
      <c r="C106" s="157"/>
      <c r="D106" s="158"/>
      <c r="E106" s="158"/>
      <c r="F106" s="158"/>
      <c r="G106" s="158"/>
      <c r="H106" s="60"/>
      <c r="I106" s="60"/>
    </row>
    <row r="107" spans="2:9" ht="17.25" customHeight="1">
      <c r="B107" s="157"/>
      <c r="C107" s="157"/>
      <c r="D107" s="158"/>
      <c r="E107" s="158"/>
      <c r="F107" s="158"/>
      <c r="G107" s="158"/>
      <c r="H107" s="60"/>
      <c r="I107" s="60"/>
    </row>
    <row r="108" spans="2:9" ht="20.25" customHeight="1">
      <c r="B108" s="159"/>
      <c r="C108" s="159"/>
      <c r="D108" s="158"/>
      <c r="E108" s="158"/>
      <c r="F108" s="160"/>
      <c r="G108" s="160"/>
      <c r="H108" s="160"/>
      <c r="I108" s="160"/>
    </row>
    <row r="109" spans="2:9" ht="18.75" customHeight="1">
      <c r="B109" s="159"/>
      <c r="C109" s="159"/>
      <c r="D109" s="160"/>
      <c r="E109" s="160"/>
      <c r="F109" s="160"/>
      <c r="G109" s="160"/>
      <c r="H109" s="160"/>
      <c r="I109" s="160"/>
    </row>
    <row r="110" spans="2:9" ht="39.75" customHeight="1">
      <c r="B110" s="159"/>
      <c r="C110" s="159"/>
      <c r="D110" s="158"/>
      <c r="E110" s="158"/>
      <c r="F110" s="160"/>
      <c r="G110" s="160"/>
      <c r="H110" s="160"/>
      <c r="I110" s="160"/>
    </row>
    <row r="111" spans="2:9" ht="31.5" customHeight="1">
      <c r="B111" s="159"/>
      <c r="C111" s="159"/>
      <c r="D111" s="158"/>
      <c r="E111" s="158"/>
      <c r="F111" s="158"/>
      <c r="G111" s="158"/>
      <c r="H111" s="158"/>
      <c r="I111" s="158"/>
    </row>
    <row r="112" spans="2:9" ht="21.75" customHeight="1">
      <c r="B112" s="157"/>
      <c r="C112" s="157"/>
      <c r="D112" s="158"/>
      <c r="E112" s="158"/>
      <c r="F112" s="158"/>
      <c r="G112" s="158"/>
      <c r="H112" s="158"/>
      <c r="I112" s="158"/>
    </row>
    <row r="113" spans="2:9" ht="22.5" customHeight="1">
      <c r="B113" s="157"/>
      <c r="C113" s="157"/>
      <c r="D113" s="158"/>
      <c r="E113" s="158"/>
      <c r="F113" s="158"/>
      <c r="G113" s="158"/>
      <c r="H113" s="158"/>
      <c r="I113" s="158"/>
    </row>
    <row r="114" spans="2:9" ht="23.25" customHeight="1">
      <c r="B114" s="157"/>
      <c r="C114" s="157"/>
      <c r="D114" s="158"/>
      <c r="E114" s="158"/>
      <c r="F114" s="158"/>
      <c r="G114" s="158"/>
      <c r="H114" s="158"/>
      <c r="I114" s="158"/>
    </row>
    <row r="115" spans="2:9" ht="53.25" customHeight="1">
      <c r="B115" s="159"/>
      <c r="C115" s="159"/>
      <c r="D115" s="160"/>
      <c r="E115" s="160"/>
      <c r="F115" s="160"/>
      <c r="G115" s="160"/>
      <c r="H115" s="160"/>
      <c r="I115" s="160"/>
    </row>
    <row r="116" spans="2:9" ht="22.5" customHeight="1">
      <c r="B116" s="157"/>
      <c r="C116" s="157"/>
      <c r="D116" s="160"/>
      <c r="E116" s="160"/>
      <c r="F116" s="160"/>
      <c r="G116" s="160"/>
      <c r="H116" s="160"/>
      <c r="I116" s="160"/>
    </row>
    <row r="117" spans="2:9" ht="28.5" customHeight="1">
      <c r="B117" s="157"/>
      <c r="C117" s="157"/>
      <c r="D117" s="160"/>
      <c r="E117" s="160"/>
      <c r="F117" s="160"/>
      <c r="G117" s="160"/>
      <c r="H117" s="160"/>
      <c r="I117" s="160"/>
    </row>
    <row r="118" spans="2:9" ht="22.5" customHeight="1">
      <c r="B118" s="157"/>
      <c r="C118" s="157"/>
      <c r="D118" s="160"/>
      <c r="E118" s="160"/>
      <c r="F118" s="158"/>
      <c r="G118" s="158"/>
      <c r="H118" s="158"/>
      <c r="I118" s="158"/>
    </row>
    <row r="119" spans="2:9" ht="22.5" customHeight="1">
      <c r="B119" s="157"/>
      <c r="C119" s="157"/>
      <c r="D119" s="160"/>
      <c r="E119" s="160"/>
      <c r="F119" s="158"/>
      <c r="G119" s="158"/>
      <c r="H119" s="158"/>
      <c r="I119" s="158"/>
    </row>
    <row r="120" spans="2:9" ht="22.5" customHeight="1">
      <c r="B120" s="157"/>
      <c r="C120" s="157"/>
      <c r="D120" s="160"/>
      <c r="E120" s="160"/>
      <c r="F120" s="158"/>
      <c r="G120" s="158"/>
      <c r="H120" s="158"/>
      <c r="I120" s="158"/>
    </row>
    <row r="121" spans="2:9" ht="22.5" customHeight="1">
      <c r="B121" s="157"/>
      <c r="C121" s="157"/>
      <c r="D121" s="160"/>
      <c r="E121" s="160"/>
      <c r="F121" s="158"/>
      <c r="G121" s="158"/>
      <c r="H121" s="158"/>
      <c r="I121" s="158"/>
    </row>
    <row r="122" spans="2:9" ht="29.25" customHeight="1" hidden="1">
      <c r="B122" s="157"/>
      <c r="C122" s="157"/>
      <c r="D122" s="160"/>
      <c r="E122" s="160"/>
      <c r="F122" s="158"/>
      <c r="G122" s="158"/>
      <c r="H122" s="158"/>
      <c r="I122" s="158"/>
    </row>
    <row r="123" spans="2:9" ht="30" customHeight="1" hidden="1">
      <c r="B123" s="157"/>
      <c r="C123" s="157"/>
      <c r="D123" s="160"/>
      <c r="E123" s="160"/>
      <c r="F123" s="158"/>
      <c r="G123" s="158"/>
      <c r="H123" s="158"/>
      <c r="I123" s="158"/>
    </row>
    <row r="124" spans="2:9" ht="22.5" customHeight="1">
      <c r="B124" s="157"/>
      <c r="C124" s="157"/>
      <c r="D124" s="160"/>
      <c r="E124" s="160"/>
      <c r="F124" s="158"/>
      <c r="G124" s="158"/>
      <c r="H124" s="158"/>
      <c r="I124" s="158"/>
    </row>
    <row r="125" spans="2:9" ht="22.5" customHeight="1">
      <c r="B125" s="157"/>
      <c r="C125" s="157"/>
      <c r="D125" s="160"/>
      <c r="E125" s="160"/>
      <c r="F125" s="158"/>
      <c r="G125" s="158"/>
      <c r="H125" s="158"/>
      <c r="I125" s="158"/>
    </row>
    <row r="126" spans="2:9" ht="22.5" customHeight="1">
      <c r="B126" s="157"/>
      <c r="C126" s="157"/>
      <c r="D126" s="160"/>
      <c r="E126" s="160"/>
      <c r="F126" s="158"/>
      <c r="G126" s="158"/>
      <c r="H126" s="158"/>
      <c r="I126" s="158"/>
    </row>
    <row r="127" spans="2:9" ht="35.25" customHeight="1">
      <c r="B127" s="159"/>
      <c r="C127" s="159"/>
      <c r="D127" s="160"/>
      <c r="E127" s="160"/>
      <c r="F127" s="160"/>
      <c r="G127" s="160"/>
      <c r="H127" s="160"/>
      <c r="I127" s="160"/>
    </row>
    <row r="128" spans="2:9" ht="28.5" customHeight="1">
      <c r="B128" s="157"/>
      <c r="C128" s="157"/>
      <c r="D128" s="160"/>
      <c r="E128" s="160"/>
      <c r="F128" s="158"/>
      <c r="G128" s="158"/>
      <c r="H128" s="158"/>
      <c r="I128" s="158"/>
    </row>
    <row r="129" spans="2:9" ht="22.5" customHeight="1">
      <c r="B129" s="157"/>
      <c r="C129" s="157"/>
      <c r="D129" s="160"/>
      <c r="E129" s="160"/>
      <c r="F129" s="158"/>
      <c r="G129" s="158"/>
      <c r="H129" s="158"/>
      <c r="I129" s="158"/>
    </row>
    <row r="130" spans="2:9" ht="22.5" customHeight="1">
      <c r="B130" s="157"/>
      <c r="C130" s="157"/>
      <c r="D130" s="160"/>
      <c r="E130" s="160"/>
      <c r="F130" s="158"/>
      <c r="G130" s="158"/>
      <c r="H130" s="158"/>
      <c r="I130" s="158"/>
    </row>
    <row r="131" spans="2:9" ht="22.5" customHeight="1">
      <c r="B131" s="157"/>
      <c r="C131" s="157"/>
      <c r="D131" s="160"/>
      <c r="E131" s="160"/>
      <c r="F131" s="158"/>
      <c r="G131" s="158"/>
      <c r="H131" s="158"/>
      <c r="I131" s="158"/>
    </row>
    <row r="132" spans="2:9" ht="21.75" customHeight="1">
      <c r="B132" s="159"/>
      <c r="C132" s="159"/>
      <c r="D132" s="160"/>
      <c r="E132" s="160"/>
      <c r="F132" s="160"/>
      <c r="G132" s="160"/>
      <c r="H132" s="160"/>
      <c r="I132" s="160"/>
    </row>
    <row r="133" spans="2:9" ht="21" customHeight="1">
      <c r="B133" s="63"/>
      <c r="C133" s="63"/>
      <c r="D133" s="160"/>
      <c r="E133" s="160"/>
      <c r="F133" s="160"/>
      <c r="G133" s="160"/>
      <c r="H133" s="160"/>
      <c r="I133" s="160"/>
    </row>
    <row r="134" spans="2:9" ht="21" customHeight="1">
      <c r="B134" s="161"/>
      <c r="C134" s="161"/>
      <c r="D134" s="160"/>
      <c r="E134" s="160"/>
      <c r="F134" s="160"/>
      <c r="G134" s="160"/>
      <c r="H134" s="160"/>
      <c r="I134" s="160"/>
    </row>
    <row r="135" spans="2:9" ht="30" customHeight="1">
      <c r="B135" s="157"/>
      <c r="C135" s="157"/>
      <c r="D135" s="158"/>
      <c r="E135" s="158"/>
      <c r="F135" s="158"/>
      <c r="G135" s="158"/>
      <c r="H135" s="158"/>
      <c r="I135" s="158"/>
    </row>
    <row r="136" spans="2:9" ht="18" customHeight="1">
      <c r="B136" s="157"/>
      <c r="C136" s="157"/>
      <c r="D136" s="158"/>
      <c r="E136" s="158"/>
      <c r="F136" s="158"/>
      <c r="G136" s="158"/>
      <c r="H136" s="158"/>
      <c r="I136" s="158"/>
    </row>
    <row r="137" spans="2:9" ht="18.75" customHeight="1">
      <c r="B137" s="157"/>
      <c r="C137" s="157"/>
      <c r="D137" s="158"/>
      <c r="E137" s="158"/>
      <c r="F137" s="158"/>
      <c r="G137" s="158"/>
      <c r="H137" s="158"/>
      <c r="I137" s="158"/>
    </row>
    <row r="138" spans="2:9" ht="20.25" customHeight="1">
      <c r="B138" s="157"/>
      <c r="C138" s="157"/>
      <c r="D138" s="158"/>
      <c r="E138" s="158"/>
      <c r="F138" s="158"/>
      <c r="G138" s="158"/>
      <c r="H138" s="158"/>
      <c r="I138" s="158"/>
    </row>
    <row r="139" spans="2:9" ht="16.5" customHeight="1">
      <c r="B139" s="157"/>
      <c r="C139" s="157"/>
      <c r="D139" s="158"/>
      <c r="E139" s="158"/>
      <c r="F139" s="158"/>
      <c r="G139" s="158"/>
      <c r="H139" s="158"/>
      <c r="I139" s="158"/>
    </row>
    <row r="140" spans="2:9" ht="24" customHeight="1">
      <c r="B140" s="157"/>
      <c r="C140" s="157"/>
      <c r="D140" s="158"/>
      <c r="E140" s="158"/>
      <c r="F140" s="158"/>
      <c r="G140" s="158"/>
      <c r="H140" s="158"/>
      <c r="I140" s="158"/>
    </row>
    <row r="141" spans="2:9" ht="17.25" customHeight="1">
      <c r="B141" s="157"/>
      <c r="C141" s="157"/>
      <c r="D141" s="158"/>
      <c r="E141" s="158"/>
      <c r="F141" s="158"/>
      <c r="G141" s="158"/>
      <c r="H141" s="158"/>
      <c r="I141" s="158"/>
    </row>
    <row r="142" spans="2:9" ht="17.25" customHeight="1">
      <c r="B142" s="157"/>
      <c r="C142" s="157"/>
      <c r="D142" s="158"/>
      <c r="E142" s="158"/>
      <c r="F142" s="158"/>
      <c r="G142" s="158"/>
      <c r="H142" s="158"/>
      <c r="I142" s="158"/>
    </row>
    <row r="143" spans="2:9" ht="43.5" customHeight="1">
      <c r="B143" s="159"/>
      <c r="C143" s="159"/>
      <c r="D143" s="160"/>
      <c r="E143" s="160"/>
      <c r="F143" s="160"/>
      <c r="G143" s="160"/>
      <c r="H143" s="160"/>
      <c r="I143" s="160"/>
    </row>
    <row r="144" spans="2:9" ht="17.25" customHeight="1">
      <c r="B144" s="157"/>
      <c r="C144" s="157"/>
      <c r="D144" s="158"/>
      <c r="E144" s="158"/>
      <c r="F144" s="158"/>
      <c r="G144" s="158"/>
      <c r="H144" s="158"/>
      <c r="I144" s="158"/>
    </row>
    <row r="145" spans="2:9" ht="17.25" customHeight="1">
      <c r="B145" s="157"/>
      <c r="C145" s="157"/>
      <c r="D145" s="158"/>
      <c r="E145" s="158"/>
      <c r="F145" s="158"/>
      <c r="G145" s="158"/>
      <c r="H145" s="158"/>
      <c r="I145" s="158"/>
    </row>
    <row r="146" spans="2:9" ht="17.25" customHeight="1">
      <c r="B146" s="159"/>
      <c r="C146" s="159"/>
      <c r="D146" s="160"/>
      <c r="E146" s="160"/>
      <c r="F146" s="160"/>
      <c r="G146" s="160"/>
      <c r="H146" s="160"/>
      <c r="I146" s="160"/>
    </row>
    <row r="147" spans="2:9" ht="32.25" customHeight="1">
      <c r="B147" s="159"/>
      <c r="C147" s="159"/>
      <c r="D147" s="158"/>
      <c r="E147" s="158"/>
      <c r="F147" s="158"/>
      <c r="G147" s="158"/>
      <c r="H147" s="158"/>
      <c r="I147" s="158"/>
    </row>
    <row r="148" spans="2:9" ht="17.25" customHeight="1">
      <c r="B148" s="157"/>
      <c r="C148" s="157"/>
      <c r="D148" s="158"/>
      <c r="E148" s="158"/>
      <c r="F148" s="158"/>
      <c r="G148" s="158"/>
      <c r="H148" s="158"/>
      <c r="I148" s="158"/>
    </row>
    <row r="149" spans="2:9" ht="17.25" customHeight="1">
      <c r="B149" s="157"/>
      <c r="C149" s="157"/>
      <c r="D149" s="158"/>
      <c r="E149" s="158"/>
      <c r="F149" s="158"/>
      <c r="G149" s="158"/>
      <c r="H149" s="158"/>
      <c r="I149" s="158"/>
    </row>
    <row r="150" spans="2:9" ht="17.25" customHeight="1">
      <c r="B150" s="159"/>
      <c r="C150" s="159"/>
      <c r="D150" s="160"/>
      <c r="E150" s="160"/>
      <c r="F150" s="160"/>
      <c r="G150" s="160"/>
      <c r="H150" s="160"/>
      <c r="I150" s="160"/>
    </row>
    <row r="151" spans="2:9" ht="18.75" customHeight="1">
      <c r="B151" s="162"/>
      <c r="C151" s="162"/>
      <c r="D151" s="160"/>
      <c r="E151" s="160"/>
      <c r="F151" s="160"/>
      <c r="G151" s="160"/>
      <c r="H151" s="160"/>
      <c r="I151" s="160"/>
    </row>
    <row r="152" spans="2:9" ht="18.75" customHeight="1">
      <c r="B152" s="162"/>
      <c r="C152" s="162"/>
      <c r="D152" s="160"/>
      <c r="E152" s="160"/>
      <c r="F152" s="160"/>
      <c r="G152" s="160"/>
      <c r="H152" s="160"/>
      <c r="I152" s="160"/>
    </row>
    <row r="153" spans="2:9" ht="18.75" customHeight="1">
      <c r="B153" s="157"/>
      <c r="C153" s="157"/>
      <c r="D153" s="158"/>
      <c r="E153" s="158"/>
      <c r="F153" s="158"/>
      <c r="G153" s="158"/>
      <c r="H153" s="158"/>
      <c r="I153" s="158"/>
    </row>
    <row r="154" spans="2:9" ht="18" customHeight="1">
      <c r="B154" s="157"/>
      <c r="C154" s="157"/>
      <c r="D154" s="158"/>
      <c r="E154" s="158"/>
      <c r="F154" s="158"/>
      <c r="G154" s="158"/>
      <c r="H154" s="158"/>
      <c r="I154" s="158"/>
    </row>
    <row r="155" spans="2:9" ht="20.25" customHeight="1">
      <c r="B155" s="157"/>
      <c r="C155" s="157"/>
      <c r="D155" s="158"/>
      <c r="E155" s="158"/>
      <c r="F155" s="158"/>
      <c r="G155" s="158"/>
      <c r="H155" s="158"/>
      <c r="I155" s="158"/>
    </row>
    <row r="156" spans="2:9" ht="18.75" customHeight="1">
      <c r="B156" s="157"/>
      <c r="C156" s="157"/>
      <c r="D156" s="158"/>
      <c r="E156" s="158"/>
      <c r="F156" s="158"/>
      <c r="G156" s="158"/>
      <c r="H156" s="158"/>
      <c r="I156" s="158"/>
    </row>
    <row r="157" spans="2:9" ht="20.25" customHeight="1">
      <c r="B157" s="157"/>
      <c r="C157" s="157"/>
      <c r="D157" s="158"/>
      <c r="E157" s="158"/>
      <c r="F157" s="158"/>
      <c r="G157" s="158"/>
      <c r="H157" s="158"/>
      <c r="I157" s="158"/>
    </row>
    <row r="158" spans="2:9" ht="15.75" customHeight="1">
      <c r="B158" s="157"/>
      <c r="C158" s="157"/>
      <c r="D158" s="158"/>
      <c r="E158" s="158"/>
      <c r="F158" s="158"/>
      <c r="G158" s="158"/>
      <c r="H158" s="158"/>
      <c r="I158" s="158"/>
    </row>
    <row r="159" spans="2:9" ht="18" customHeight="1">
      <c r="B159" s="157"/>
      <c r="C159" s="157"/>
      <c r="D159" s="158"/>
      <c r="E159" s="158"/>
      <c r="F159" s="158"/>
      <c r="G159" s="158"/>
      <c r="H159" s="158"/>
      <c r="I159" s="158"/>
    </row>
    <row r="160" spans="2:9" ht="18.75" customHeight="1">
      <c r="B160" s="159"/>
      <c r="C160" s="159"/>
      <c r="D160" s="160"/>
      <c r="E160" s="160"/>
      <c r="F160" s="160"/>
      <c r="G160" s="160"/>
      <c r="H160" s="160"/>
      <c r="I160" s="160"/>
    </row>
    <row r="161" spans="2:9" ht="29.25" customHeight="1">
      <c r="B161" s="157"/>
      <c r="C161" s="157"/>
      <c r="D161" s="158"/>
      <c r="E161" s="158"/>
      <c r="F161" s="158"/>
      <c r="G161" s="158"/>
      <c r="H161" s="158"/>
      <c r="I161" s="158"/>
    </row>
    <row r="162" spans="2:9" ht="20.25" customHeight="1">
      <c r="B162" s="163"/>
      <c r="C162" s="163"/>
      <c r="D162" s="158"/>
      <c r="E162" s="158"/>
      <c r="F162" s="158"/>
      <c r="G162" s="158"/>
      <c r="H162" s="158"/>
      <c r="I162" s="158"/>
    </row>
    <row r="163" spans="2:9" ht="19.5" customHeight="1">
      <c r="B163" s="164"/>
      <c r="C163" s="164"/>
      <c r="D163" s="158"/>
      <c r="E163" s="158"/>
      <c r="F163" s="158"/>
      <c r="G163" s="158"/>
      <c r="H163" s="158"/>
      <c r="I163" s="158"/>
    </row>
    <row r="164" spans="2:9" ht="19.5" customHeight="1">
      <c r="B164" s="157"/>
      <c r="C164" s="157"/>
      <c r="D164" s="158"/>
      <c r="E164" s="158"/>
      <c r="F164" s="158"/>
      <c r="G164" s="158"/>
      <c r="H164" s="158"/>
      <c r="I164" s="158"/>
    </row>
    <row r="165" spans="2:9" ht="18.75" customHeight="1">
      <c r="B165" s="162"/>
      <c r="C165" s="162"/>
      <c r="D165" s="158"/>
      <c r="E165" s="158"/>
      <c r="F165" s="158"/>
      <c r="G165" s="158"/>
      <c r="H165" s="158"/>
      <c r="I165" s="158"/>
    </row>
    <row r="166" spans="2:9" ht="30.75" customHeight="1">
      <c r="B166" s="159"/>
      <c r="C166" s="159"/>
      <c r="D166" s="158"/>
      <c r="E166" s="158"/>
      <c r="F166" s="160"/>
      <c r="G166" s="160"/>
      <c r="H166" s="160"/>
      <c r="I166" s="160"/>
    </row>
    <row r="167" spans="2:9" ht="39.75" customHeight="1">
      <c r="B167" s="157"/>
      <c r="C167" s="157"/>
      <c r="D167" s="158"/>
      <c r="E167" s="158"/>
      <c r="F167" s="158"/>
      <c r="G167" s="158"/>
      <c r="H167" s="158"/>
      <c r="I167" s="158"/>
    </row>
    <row r="168" spans="2:9" ht="18.75" customHeight="1">
      <c r="B168" s="157"/>
      <c r="C168" s="157"/>
      <c r="D168" s="158"/>
      <c r="E168" s="158"/>
      <c r="F168" s="158"/>
      <c r="G168" s="158"/>
      <c r="H168" s="158"/>
      <c r="I168" s="158"/>
    </row>
    <row r="169" spans="2:9" ht="18.75" customHeight="1">
      <c r="B169" s="157"/>
      <c r="C169" s="157"/>
      <c r="D169" s="158"/>
      <c r="E169" s="158"/>
      <c r="F169" s="158"/>
      <c r="G169" s="158"/>
      <c r="H169" s="158"/>
      <c r="I169" s="158"/>
    </row>
    <row r="170" spans="2:9" ht="18" customHeight="1">
      <c r="B170" s="157"/>
      <c r="C170" s="157"/>
      <c r="D170" s="158"/>
      <c r="E170" s="158"/>
      <c r="F170" s="158"/>
      <c r="G170" s="158"/>
      <c r="H170" s="158"/>
      <c r="I170" s="158"/>
    </row>
    <row r="171" spans="2:9" ht="21.75" customHeight="1">
      <c r="B171" s="157"/>
      <c r="C171" s="157"/>
      <c r="D171" s="158"/>
      <c r="E171" s="158"/>
      <c r="F171" s="158"/>
      <c r="G171" s="158"/>
      <c r="H171" s="158"/>
      <c r="I171" s="158"/>
    </row>
    <row r="172" spans="2:9" ht="21.75" customHeight="1">
      <c r="B172" s="157"/>
      <c r="C172" s="157"/>
      <c r="D172" s="158"/>
      <c r="E172" s="158"/>
      <c r="F172" s="158"/>
      <c r="G172" s="158"/>
      <c r="H172" s="158"/>
      <c r="I172" s="158"/>
    </row>
    <row r="173" spans="2:9" ht="21.75" customHeight="1">
      <c r="B173" s="157"/>
      <c r="C173" s="157"/>
      <c r="D173" s="158"/>
      <c r="E173" s="158"/>
      <c r="F173" s="158"/>
      <c r="G173" s="158"/>
      <c r="H173" s="158"/>
      <c r="I173" s="158"/>
    </row>
    <row r="174" spans="2:9" ht="18.75" customHeight="1">
      <c r="B174" s="157"/>
      <c r="C174" s="157"/>
      <c r="D174" s="158"/>
      <c r="E174" s="158"/>
      <c r="F174" s="158"/>
      <c r="G174" s="158"/>
      <c r="H174" s="158"/>
      <c r="I174" s="158"/>
    </row>
    <row r="175" spans="2:9" ht="18.75" customHeight="1">
      <c r="B175" s="157"/>
      <c r="C175" s="157"/>
      <c r="D175" s="158"/>
      <c r="E175" s="158"/>
      <c r="F175" s="158"/>
      <c r="G175" s="158"/>
      <c r="H175" s="158"/>
      <c r="I175" s="158"/>
    </row>
    <row r="176" spans="2:9" ht="44.25" customHeight="1">
      <c r="B176" s="159"/>
      <c r="C176" s="159"/>
      <c r="D176" s="160"/>
      <c r="E176" s="160"/>
      <c r="F176" s="160"/>
      <c r="G176" s="160"/>
      <c r="H176" s="160"/>
      <c r="I176" s="160"/>
    </row>
    <row r="177" spans="2:9" ht="18.75" customHeight="1">
      <c r="B177" s="157"/>
      <c r="C177" s="157"/>
      <c r="D177" s="158"/>
      <c r="E177" s="158"/>
      <c r="F177" s="158"/>
      <c r="G177" s="158"/>
      <c r="H177" s="158"/>
      <c r="I177" s="158"/>
    </row>
    <row r="178" spans="2:9" ht="18.75" customHeight="1">
      <c r="B178" s="157"/>
      <c r="C178" s="157"/>
      <c r="D178" s="158"/>
      <c r="E178" s="158"/>
      <c r="F178" s="158"/>
      <c r="G178" s="158"/>
      <c r="H178" s="158"/>
      <c r="I178" s="158"/>
    </row>
    <row r="179" ht="28.5" customHeight="1"/>
    <row r="180" ht="28.5" customHeight="1"/>
    <row r="181" ht="28.5" customHeight="1"/>
    <row r="182" ht="28.5" customHeight="1"/>
    <row r="183" ht="18" customHeight="1"/>
    <row r="184" spans="2:9" ht="18" customHeight="1">
      <c r="B184" s="157"/>
      <c r="C184" s="157"/>
      <c r="D184" s="158"/>
      <c r="E184" s="158"/>
      <c r="F184" s="158"/>
      <c r="G184" s="158"/>
      <c r="H184" s="60"/>
      <c r="I184" s="60"/>
    </row>
    <row r="185" spans="2:9" ht="18" customHeight="1">
      <c r="B185" s="157"/>
      <c r="C185" s="157"/>
      <c r="D185" s="158"/>
      <c r="E185" s="158"/>
      <c r="F185" s="158"/>
      <c r="G185" s="158"/>
      <c r="H185" s="60"/>
      <c r="I185" s="60"/>
    </row>
    <row r="186" spans="2:9" ht="18" customHeight="1">
      <c r="B186" s="157"/>
      <c r="C186" s="157"/>
      <c r="D186" s="158"/>
      <c r="E186" s="158"/>
      <c r="F186" s="158"/>
      <c r="G186" s="158"/>
      <c r="H186" s="60"/>
      <c r="I186" s="60"/>
    </row>
    <row r="187" spans="2:9" ht="32.25" customHeight="1">
      <c r="B187" s="159"/>
      <c r="C187" s="159"/>
      <c r="D187" s="160"/>
      <c r="E187" s="160"/>
      <c r="F187" s="160"/>
      <c r="G187" s="160"/>
      <c r="H187" s="160"/>
      <c r="I187" s="160"/>
    </row>
    <row r="188" spans="2:9" ht="15">
      <c r="B188" s="159"/>
      <c r="C188" s="159"/>
      <c r="D188" s="160"/>
      <c r="E188" s="160"/>
      <c r="F188" s="160"/>
      <c r="G188" s="160"/>
      <c r="H188" s="160"/>
      <c r="I188" s="160"/>
    </row>
    <row r="189" spans="2:9" ht="32.25" customHeight="1">
      <c r="B189" s="165"/>
      <c r="C189" s="165"/>
      <c r="D189" s="166"/>
      <c r="E189" s="166"/>
      <c r="F189" s="166"/>
      <c r="G189" s="166"/>
      <c r="H189" s="166"/>
      <c r="I189" s="166"/>
    </row>
    <row r="190" spans="2:9" ht="15">
      <c r="B190" s="157"/>
      <c r="C190" s="157"/>
      <c r="D190" s="158"/>
      <c r="E190" s="158"/>
      <c r="F190" s="158"/>
      <c r="G190" s="158"/>
      <c r="H190" s="158"/>
      <c r="I190" s="158"/>
    </row>
    <row r="191" spans="2:9" ht="30" customHeight="1">
      <c r="B191" s="157"/>
      <c r="C191" s="157"/>
      <c r="D191" s="158"/>
      <c r="E191" s="158"/>
      <c r="F191" s="158"/>
      <c r="G191" s="158"/>
      <c r="H191" s="158"/>
      <c r="I191" s="158"/>
    </row>
    <row r="192" spans="2:9" ht="15">
      <c r="B192" s="167"/>
      <c r="C192" s="167"/>
      <c r="D192" s="158"/>
      <c r="E192" s="158"/>
      <c r="F192" s="158"/>
      <c r="G192" s="158"/>
      <c r="H192" s="158"/>
      <c r="I192" s="158"/>
    </row>
    <row r="193" spans="2:9" ht="15" customHeight="1">
      <c r="B193" s="157"/>
      <c r="C193" s="157"/>
      <c r="D193" s="158"/>
      <c r="E193" s="158"/>
      <c r="F193" s="158"/>
      <c r="G193" s="158"/>
      <c r="H193" s="60"/>
      <c r="I193" s="60"/>
    </row>
    <row r="194" spans="2:9" ht="15" customHeight="1">
      <c r="B194" s="157"/>
      <c r="C194" s="157"/>
      <c r="D194" s="158"/>
      <c r="E194" s="158"/>
      <c r="F194" s="158"/>
      <c r="G194" s="158"/>
      <c r="H194" s="60"/>
      <c r="I194" s="60"/>
    </row>
    <row r="195" spans="2:9" ht="15" customHeight="1">
      <c r="B195" s="157"/>
      <c r="C195" s="157"/>
      <c r="D195" s="158"/>
      <c r="E195" s="158"/>
      <c r="F195" s="158"/>
      <c r="G195" s="158"/>
      <c r="H195" s="60"/>
      <c r="I195" s="60"/>
    </row>
    <row r="196" spans="2:9" ht="15">
      <c r="B196" s="157"/>
      <c r="C196" s="157"/>
      <c r="D196" s="158"/>
      <c r="E196" s="158"/>
      <c r="F196" s="158"/>
      <c r="G196" s="158"/>
      <c r="H196" s="60"/>
      <c r="I196" s="60"/>
    </row>
    <row r="197" spans="2:9" ht="15">
      <c r="B197" s="157"/>
      <c r="C197" s="157"/>
      <c r="D197" s="158"/>
      <c r="E197" s="158"/>
      <c r="F197" s="158"/>
      <c r="G197" s="158"/>
      <c r="H197" s="60"/>
      <c r="I197" s="60"/>
    </row>
    <row r="198" spans="2:9" ht="15">
      <c r="B198" s="157"/>
      <c r="C198" s="157"/>
      <c r="D198" s="158"/>
      <c r="E198" s="158"/>
      <c r="F198" s="158"/>
      <c r="G198" s="158"/>
      <c r="H198" s="60"/>
      <c r="I198" s="60"/>
    </row>
    <row r="199" spans="2:9" ht="15">
      <c r="B199" s="157"/>
      <c r="C199" s="157"/>
      <c r="D199" s="158"/>
      <c r="E199" s="158"/>
      <c r="F199" s="158"/>
      <c r="G199" s="158"/>
      <c r="H199" s="60"/>
      <c r="I199" s="60"/>
    </row>
    <row r="200" spans="2:9" ht="15">
      <c r="B200" s="157"/>
      <c r="C200" s="157"/>
      <c r="D200" s="158"/>
      <c r="E200" s="158"/>
      <c r="F200" s="158"/>
      <c r="G200" s="158"/>
      <c r="H200" s="60"/>
      <c r="I200" s="60"/>
    </row>
    <row r="201" spans="2:9" ht="15">
      <c r="B201" s="157"/>
      <c r="C201" s="157"/>
      <c r="D201" s="158"/>
      <c r="E201" s="158"/>
      <c r="F201" s="158"/>
      <c r="G201" s="158"/>
      <c r="H201" s="60"/>
      <c r="I201" s="60"/>
    </row>
    <row r="202" spans="2:9" ht="15">
      <c r="B202" s="157"/>
      <c r="C202" s="157"/>
      <c r="D202" s="158"/>
      <c r="E202" s="158"/>
      <c r="F202" s="158"/>
      <c r="G202" s="158"/>
      <c r="H202" s="60"/>
      <c r="I202" s="60"/>
    </row>
    <row r="203" spans="2:9" ht="15">
      <c r="B203" s="157"/>
      <c r="C203" s="157"/>
      <c r="D203" s="158"/>
      <c r="E203" s="158"/>
      <c r="F203" s="158"/>
      <c r="G203" s="158"/>
      <c r="H203" s="60"/>
      <c r="I203" s="60"/>
    </row>
    <row r="204" spans="2:9" ht="14.25" customHeight="1">
      <c r="B204" s="157"/>
      <c r="C204" s="157"/>
      <c r="D204" s="158"/>
      <c r="E204" s="158"/>
      <c r="F204" s="158"/>
      <c r="G204" s="158"/>
      <c r="H204" s="60"/>
      <c r="I204" s="60"/>
    </row>
    <row r="205" ht="21.75" customHeight="1"/>
    <row r="206" ht="24.75" customHeight="1"/>
    <row r="207" ht="40.5" customHeight="1"/>
    <row r="208" ht="23.25" customHeight="1"/>
    <row r="209" ht="45" customHeight="1"/>
    <row r="210" ht="21.75" customHeight="1"/>
    <row r="211" ht="23.25" customHeight="1"/>
    <row r="213" ht="18" customHeight="1"/>
    <row r="214" spans="2:9" ht="78" customHeight="1">
      <c r="B214" s="157"/>
      <c r="C214" s="157"/>
      <c r="D214" s="158"/>
      <c r="E214" s="158"/>
      <c r="F214" s="158"/>
      <c r="G214" s="158"/>
      <c r="H214" s="158"/>
      <c r="I214" s="158"/>
    </row>
    <row r="215" spans="2:9" ht="15">
      <c r="B215" s="157"/>
      <c r="C215" s="157"/>
      <c r="D215" s="158"/>
      <c r="E215" s="158"/>
      <c r="F215" s="158"/>
      <c r="G215" s="158"/>
      <c r="H215" s="60"/>
      <c r="I215" s="60"/>
    </row>
    <row r="216" spans="2:9" ht="15">
      <c r="B216" s="157"/>
      <c r="C216" s="157"/>
      <c r="D216" s="158"/>
      <c r="E216" s="158"/>
      <c r="F216" s="158"/>
      <c r="G216" s="158"/>
      <c r="H216" s="60"/>
      <c r="I216" s="60"/>
    </row>
    <row r="217" spans="2:9" ht="15">
      <c r="B217" s="157"/>
      <c r="C217" s="157"/>
      <c r="D217" s="158"/>
      <c r="E217" s="158"/>
      <c r="F217" s="158"/>
      <c r="G217" s="158"/>
      <c r="H217" s="60"/>
      <c r="I217" s="60"/>
    </row>
    <row r="218" spans="2:9" ht="15">
      <c r="B218" s="157"/>
      <c r="C218" s="157"/>
      <c r="D218" s="158"/>
      <c r="E218" s="158"/>
      <c r="F218" s="158"/>
      <c r="G218" s="158"/>
      <c r="H218" s="60"/>
      <c r="I218" s="60"/>
    </row>
    <row r="219" spans="2:9" ht="15">
      <c r="B219" s="157"/>
      <c r="C219" s="157"/>
      <c r="D219" s="158"/>
      <c r="E219" s="158"/>
      <c r="F219" s="158"/>
      <c r="G219" s="158"/>
      <c r="H219" s="60"/>
      <c r="I219" s="60"/>
    </row>
    <row r="220" spans="2:9" ht="15">
      <c r="B220" s="157"/>
      <c r="C220" s="157"/>
      <c r="D220" s="158"/>
      <c r="E220" s="158"/>
      <c r="F220" s="158"/>
      <c r="G220" s="158"/>
      <c r="H220" s="60"/>
      <c r="I220" s="60"/>
    </row>
    <row r="221" spans="2:9" ht="15">
      <c r="B221" s="157"/>
      <c r="C221" s="157"/>
      <c r="D221" s="158"/>
      <c r="E221" s="158"/>
      <c r="F221" s="158"/>
      <c r="G221" s="158"/>
      <c r="H221" s="60"/>
      <c r="I221" s="60"/>
    </row>
    <row r="222" spans="2:9" ht="15">
      <c r="B222" s="157"/>
      <c r="C222" s="157"/>
      <c r="D222" s="158"/>
      <c r="E222" s="158"/>
      <c r="F222" s="158"/>
      <c r="G222" s="158"/>
      <c r="H222" s="60"/>
      <c r="I222" s="60"/>
    </row>
    <row r="223" spans="2:9" ht="15">
      <c r="B223" s="157"/>
      <c r="C223" s="157"/>
      <c r="D223" s="158"/>
      <c r="E223" s="158"/>
      <c r="F223" s="158"/>
      <c r="G223" s="158"/>
      <c r="H223" s="60"/>
      <c r="I223" s="60"/>
    </row>
    <row r="224" spans="2:9" ht="15.75" customHeight="1">
      <c r="B224" s="157"/>
      <c r="C224" s="157"/>
      <c r="D224" s="158"/>
      <c r="E224" s="158"/>
      <c r="F224" s="158"/>
      <c r="G224" s="158"/>
      <c r="H224" s="60"/>
      <c r="I224" s="60"/>
    </row>
    <row r="225" spans="2:9" ht="15">
      <c r="B225" s="157"/>
      <c r="C225" s="157"/>
      <c r="D225" s="158"/>
      <c r="E225" s="158"/>
      <c r="F225" s="158"/>
      <c r="G225" s="158"/>
      <c r="H225" s="60"/>
      <c r="I225" s="60"/>
    </row>
    <row r="226" spans="2:9" ht="15">
      <c r="B226" s="159"/>
      <c r="C226" s="159"/>
      <c r="D226" s="160"/>
      <c r="E226" s="160"/>
      <c r="F226" s="168"/>
      <c r="G226" s="168"/>
      <c r="H226" s="168"/>
      <c r="I226" s="168"/>
    </row>
    <row r="227" spans="2:9" ht="15">
      <c r="B227" s="159"/>
      <c r="C227" s="159"/>
      <c r="D227" s="160"/>
      <c r="E227" s="160"/>
      <c r="F227" s="160"/>
      <c r="G227" s="160"/>
      <c r="H227" s="160"/>
      <c r="I227" s="160"/>
    </row>
    <row r="228" spans="2:9" ht="32.25" customHeight="1">
      <c r="B228" s="162"/>
      <c r="C228" s="162"/>
      <c r="D228" s="166"/>
      <c r="E228" s="166"/>
      <c r="F228" s="166"/>
      <c r="G228" s="166"/>
      <c r="H228" s="166"/>
      <c r="I228" s="166"/>
    </row>
    <row r="229" spans="2:9" ht="15">
      <c r="B229" s="157"/>
      <c r="C229" s="157"/>
      <c r="D229" s="158"/>
      <c r="E229" s="158"/>
      <c r="F229" s="158"/>
      <c r="G229" s="158"/>
      <c r="H229" s="158"/>
      <c r="I229" s="158"/>
    </row>
    <row r="230" spans="2:9" ht="15">
      <c r="B230" s="157"/>
      <c r="C230" s="157"/>
      <c r="D230" s="158"/>
      <c r="E230" s="158"/>
      <c r="F230" s="158"/>
      <c r="G230" s="158"/>
      <c r="H230" s="158"/>
      <c r="I230" s="158"/>
    </row>
    <row r="231" spans="2:9" ht="15">
      <c r="B231" s="157"/>
      <c r="C231" s="157"/>
      <c r="D231" s="158"/>
      <c r="E231" s="158"/>
      <c r="F231" s="158"/>
      <c r="G231" s="158"/>
      <c r="H231" s="158"/>
      <c r="I231" s="158"/>
    </row>
    <row r="232" spans="2:9" ht="15">
      <c r="B232" s="157"/>
      <c r="C232" s="157"/>
      <c r="D232" s="158"/>
      <c r="E232" s="158"/>
      <c r="F232" s="158"/>
      <c r="G232" s="158"/>
      <c r="H232" s="158"/>
      <c r="I232" s="158"/>
    </row>
    <row r="233" spans="2:9" ht="15">
      <c r="B233" s="157"/>
      <c r="C233" s="157"/>
      <c r="D233" s="158"/>
      <c r="E233" s="158"/>
      <c r="F233" s="158"/>
      <c r="G233" s="158"/>
      <c r="H233" s="158"/>
      <c r="I233" s="158"/>
    </row>
    <row r="234" spans="2:9" ht="15">
      <c r="B234" s="157"/>
      <c r="C234" s="157"/>
      <c r="D234" s="158"/>
      <c r="E234" s="158"/>
      <c r="F234" s="158"/>
      <c r="G234" s="158"/>
      <c r="H234" s="158"/>
      <c r="I234" s="158"/>
    </row>
    <row r="235" spans="2:9" ht="15">
      <c r="B235" s="157"/>
      <c r="C235" s="157"/>
      <c r="D235" s="158"/>
      <c r="E235" s="158"/>
      <c r="F235" s="158"/>
      <c r="G235" s="158"/>
      <c r="H235" s="158"/>
      <c r="I235" s="158"/>
    </row>
    <row r="236" spans="2:9" ht="15">
      <c r="B236" s="157"/>
      <c r="C236" s="157"/>
      <c r="D236" s="158"/>
      <c r="E236" s="158"/>
      <c r="F236" s="158"/>
      <c r="G236" s="158"/>
      <c r="H236" s="158"/>
      <c r="I236" s="158"/>
    </row>
    <row r="237" spans="2:9" ht="15">
      <c r="B237" s="157"/>
      <c r="C237" s="157"/>
      <c r="D237" s="158"/>
      <c r="E237" s="158"/>
      <c r="F237" s="158"/>
      <c r="G237" s="158"/>
      <c r="H237" s="158"/>
      <c r="I237" s="158"/>
    </row>
    <row r="238" spans="2:9" ht="15">
      <c r="B238" s="157"/>
      <c r="C238" s="157"/>
      <c r="D238" s="158"/>
      <c r="E238" s="158"/>
      <c r="F238" s="158"/>
      <c r="G238" s="158"/>
      <c r="H238" s="158"/>
      <c r="I238" s="158"/>
    </row>
    <row r="239" spans="2:9" ht="15">
      <c r="B239" s="159"/>
      <c r="C239" s="159"/>
      <c r="D239" s="160"/>
      <c r="E239" s="160"/>
      <c r="F239" s="160"/>
      <c r="G239" s="160"/>
      <c r="H239" s="59"/>
      <c r="I239" s="59"/>
    </row>
    <row r="240" spans="2:9" ht="15">
      <c r="B240" s="157"/>
      <c r="C240" s="157"/>
      <c r="D240" s="158"/>
      <c r="E240" s="158"/>
      <c r="F240" s="158"/>
      <c r="G240" s="158"/>
      <c r="H240" s="60"/>
      <c r="I240" s="60"/>
    </row>
    <row r="241" spans="2:9" ht="15">
      <c r="B241" s="157"/>
      <c r="C241" s="157"/>
      <c r="D241" s="158"/>
      <c r="E241" s="158"/>
      <c r="F241" s="158"/>
      <c r="G241" s="158"/>
      <c r="H241" s="60"/>
      <c r="I241" s="60"/>
    </row>
    <row r="242" spans="2:9" ht="16.5" customHeight="1">
      <c r="B242" s="157"/>
      <c r="C242" s="157"/>
      <c r="D242" s="158"/>
      <c r="E242" s="158"/>
      <c r="F242" s="158"/>
      <c r="G242" s="158"/>
      <c r="H242" s="60"/>
      <c r="I242" s="60"/>
    </row>
    <row r="243" spans="2:9" ht="14.25" customHeight="1">
      <c r="B243" s="157"/>
      <c r="C243" s="157"/>
      <c r="D243" s="158"/>
      <c r="E243" s="158"/>
      <c r="F243" s="158"/>
      <c r="G243" s="158"/>
      <c r="H243" s="60"/>
      <c r="I243" s="60"/>
    </row>
    <row r="244" spans="2:9" ht="14.25" customHeight="1">
      <c r="B244" s="159"/>
      <c r="C244" s="159"/>
      <c r="D244" s="160"/>
      <c r="E244" s="160"/>
      <c r="F244" s="160"/>
      <c r="G244" s="160"/>
      <c r="H244" s="160"/>
      <c r="I244" s="160"/>
    </row>
    <row r="245" spans="4:9" ht="15">
      <c r="D245" s="63"/>
      <c r="E245" s="160"/>
      <c r="F245" s="160"/>
      <c r="G245" s="160"/>
      <c r="H245" s="160"/>
      <c r="I245" s="160"/>
    </row>
    <row r="246" spans="4:9" ht="16.5" customHeight="1">
      <c r="D246" s="197"/>
      <c r="E246" s="198"/>
      <c r="F246" s="197"/>
      <c r="G246" s="197"/>
      <c r="H246" s="198"/>
      <c r="I246" s="158"/>
    </row>
    <row r="247" spans="4:9" ht="15">
      <c r="D247" s="197"/>
      <c r="E247" s="198"/>
      <c r="F247" s="197"/>
      <c r="G247" s="197"/>
      <c r="H247" s="198"/>
      <c r="I247" s="158"/>
    </row>
    <row r="248" spans="4:9" ht="15">
      <c r="D248" s="197"/>
      <c r="E248" s="198"/>
      <c r="F248" s="197"/>
      <c r="G248" s="197"/>
      <c r="H248" s="198"/>
      <c r="I248" s="158"/>
    </row>
    <row r="249" spans="4:9" ht="15">
      <c r="D249" s="197"/>
      <c r="E249" s="198"/>
      <c r="F249" s="197"/>
      <c r="G249" s="197"/>
      <c r="H249" s="198"/>
      <c r="I249" s="158"/>
    </row>
    <row r="250" ht="15">
      <c r="E250" s="158"/>
    </row>
    <row r="251" ht="15">
      <c r="E251" s="158"/>
    </row>
  </sheetData>
  <sheetProtection/>
  <mergeCells count="85">
    <mergeCell ref="D48:H48"/>
    <mergeCell ref="D47:H47"/>
    <mergeCell ref="D59:H59"/>
    <mergeCell ref="C1:K1"/>
    <mergeCell ref="D5:H5"/>
    <mergeCell ref="D6:H6"/>
    <mergeCell ref="D7:H7"/>
    <mergeCell ref="D8:H8"/>
    <mergeCell ref="B2:K2"/>
    <mergeCell ref="B4:K4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60:H60"/>
    <mergeCell ref="D61:H61"/>
    <mergeCell ref="D74:H74"/>
    <mergeCell ref="D75:H75"/>
    <mergeCell ref="D76:H76"/>
    <mergeCell ref="D77:H77"/>
    <mergeCell ref="D62:H62"/>
    <mergeCell ref="D63:H63"/>
    <mergeCell ref="D64:H64"/>
    <mergeCell ref="D65:H65"/>
    <mergeCell ref="D66:H66"/>
    <mergeCell ref="D67:H67"/>
    <mergeCell ref="D21:H21"/>
    <mergeCell ref="D22:H22"/>
    <mergeCell ref="D78:H78"/>
    <mergeCell ref="D79:H79"/>
    <mergeCell ref="D68:H68"/>
    <mergeCell ref="D69:H69"/>
    <mergeCell ref="D70:H70"/>
    <mergeCell ref="D71:H71"/>
    <mergeCell ref="D72:H72"/>
    <mergeCell ref="D73:H73"/>
    <mergeCell ref="D246:D249"/>
    <mergeCell ref="E246:E249"/>
    <mergeCell ref="F246:F249"/>
    <mergeCell ref="G246:G249"/>
    <mergeCell ref="H246:H249"/>
    <mergeCell ref="D80:H80"/>
    <mergeCell ref="D81:H81"/>
  </mergeCells>
  <printOptions/>
  <pageMargins left="0.7086614173228347" right="0.31496062992125984" top="0.4724409448818898" bottom="0.15748031496062992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8">
      <selection activeCell="A43" sqref="A43"/>
    </sheetView>
  </sheetViews>
  <sheetFormatPr defaultColWidth="9.00390625" defaultRowHeight="12.75"/>
  <cols>
    <col min="1" max="1" width="56.75390625" style="64" customWidth="1"/>
    <col min="2" max="2" width="6.375" style="60" customWidth="1"/>
    <col min="3" max="3" width="6.75390625" style="60" customWidth="1"/>
    <col min="4" max="4" width="13.75390625" style="60" customWidth="1"/>
    <col min="5" max="5" width="13.125" style="47" hidden="1" customWidth="1"/>
    <col min="6" max="6" width="14.125" style="47" hidden="1" customWidth="1"/>
    <col min="7" max="16384" width="9.125" style="47" customWidth="1"/>
  </cols>
  <sheetData>
    <row r="1" spans="1:5" s="11" customFormat="1" ht="12.75">
      <c r="A1" s="204" t="s">
        <v>280</v>
      </c>
      <c r="B1" s="204"/>
      <c r="C1" s="204"/>
      <c r="D1" s="204"/>
      <c r="E1" s="16"/>
    </row>
    <row r="2" spans="1:5" s="11" customFormat="1" ht="12.75">
      <c r="A2" s="204" t="s">
        <v>336</v>
      </c>
      <c r="B2" s="204"/>
      <c r="C2" s="204"/>
      <c r="D2" s="204"/>
      <c r="E2" s="16"/>
    </row>
    <row r="3" spans="1:5" s="11" customFormat="1" ht="12.75">
      <c r="A3" s="204" t="s">
        <v>335</v>
      </c>
      <c r="B3" s="204"/>
      <c r="C3" s="204"/>
      <c r="D3" s="204"/>
      <c r="E3" s="16"/>
    </row>
    <row r="4" spans="1:5" s="11" customFormat="1" ht="12.75">
      <c r="A4" s="204" t="s">
        <v>281</v>
      </c>
      <c r="B4" s="204"/>
      <c r="C4" s="204"/>
      <c r="D4" s="204"/>
      <c r="E4" s="16"/>
    </row>
    <row r="5" spans="1:5" s="11" customFormat="1" ht="12.75">
      <c r="A5" s="204" t="s">
        <v>70</v>
      </c>
      <c r="B5" s="204"/>
      <c r="C5" s="204"/>
      <c r="D5" s="204"/>
      <c r="E5" s="16"/>
    </row>
    <row r="6" spans="1:5" s="11" customFormat="1" ht="12.75">
      <c r="A6" s="204" t="s">
        <v>484</v>
      </c>
      <c r="B6" s="204"/>
      <c r="C6" s="204"/>
      <c r="D6" s="204"/>
      <c r="E6" s="16"/>
    </row>
    <row r="7" spans="1:5" s="11" customFormat="1" ht="12.75">
      <c r="A7" s="204" t="s">
        <v>483</v>
      </c>
      <c r="B7" s="204"/>
      <c r="C7" s="204"/>
      <c r="D7" s="204"/>
      <c r="E7" s="16"/>
    </row>
    <row r="8" spans="1:5" ht="47.25" customHeight="1">
      <c r="A8" s="180" t="s">
        <v>480</v>
      </c>
      <c r="B8" s="180"/>
      <c r="C8" s="180"/>
      <c r="D8" s="180"/>
      <c r="E8" s="180"/>
    </row>
    <row r="9" spans="1:5" ht="15">
      <c r="A9" s="58"/>
      <c r="B9" s="59"/>
      <c r="D9" s="205" t="s">
        <v>149</v>
      </c>
      <c r="E9" s="205"/>
    </row>
    <row r="10" spans="1:4" s="50" customFormat="1" ht="24" customHeight="1">
      <c r="A10" s="42" t="s">
        <v>5</v>
      </c>
      <c r="B10" s="42" t="s">
        <v>2</v>
      </c>
      <c r="C10" s="42" t="s">
        <v>4</v>
      </c>
      <c r="D10" s="43" t="s">
        <v>479</v>
      </c>
    </row>
    <row r="11" spans="1:8" s="50" customFormat="1" ht="14.25">
      <c r="A11" s="25" t="s">
        <v>19</v>
      </c>
      <c r="B11" s="26" t="s">
        <v>3</v>
      </c>
      <c r="C11" s="26" t="s">
        <v>3</v>
      </c>
      <c r="D11" s="61">
        <f>D12+D17+D19+D22+D25+D29+D31+D34+D36+D39+D41+D43</f>
        <v>616033.1075</v>
      </c>
      <c r="E11" s="62"/>
      <c r="F11" s="62"/>
      <c r="H11" s="49"/>
    </row>
    <row r="12" spans="1:6" s="63" customFormat="1" ht="14.25">
      <c r="A12" s="25" t="s">
        <v>0</v>
      </c>
      <c r="B12" s="26" t="s">
        <v>6</v>
      </c>
      <c r="C12" s="26" t="s">
        <v>3</v>
      </c>
      <c r="D12" s="61">
        <f>SUM(D13:D16)</f>
        <v>66480.85371000001</v>
      </c>
      <c r="E12" s="61">
        <v>69094.0824</v>
      </c>
      <c r="F12" s="61">
        <v>70389.9003</v>
      </c>
    </row>
    <row r="13" spans="1:6" s="56" customFormat="1" ht="30">
      <c r="A13" s="14" t="s">
        <v>79</v>
      </c>
      <c r="B13" s="19" t="s">
        <v>6</v>
      </c>
      <c r="C13" s="19" t="s">
        <v>8</v>
      </c>
      <c r="D13" s="35">
        <f>3857027.87/1000</f>
        <v>3857.02787</v>
      </c>
      <c r="E13" s="35">
        <v>2764</v>
      </c>
      <c r="F13" s="35">
        <v>2764</v>
      </c>
    </row>
    <row r="14" spans="1:6" s="56" customFormat="1" ht="45">
      <c r="A14" s="14" t="s">
        <v>47</v>
      </c>
      <c r="B14" s="19" t="s">
        <v>6</v>
      </c>
      <c r="C14" s="19" t="s">
        <v>7</v>
      </c>
      <c r="D14" s="35">
        <f>(61902325.84+120800+700)/1000</f>
        <v>62023.825840000005</v>
      </c>
      <c r="E14" s="35">
        <v>66030.0824</v>
      </c>
      <c r="F14" s="35">
        <v>67325.9003</v>
      </c>
    </row>
    <row r="15" spans="1:6" s="56" customFormat="1" ht="15">
      <c r="A15" s="14" t="s">
        <v>20</v>
      </c>
      <c r="B15" s="19" t="s">
        <v>6</v>
      </c>
      <c r="C15" s="19" t="s">
        <v>17</v>
      </c>
      <c r="D15" s="35">
        <f>300000/1000</f>
        <v>300</v>
      </c>
      <c r="E15" s="35"/>
      <c r="F15" s="35"/>
    </row>
    <row r="16" spans="1:6" s="56" customFormat="1" ht="15">
      <c r="A16" s="14" t="s">
        <v>92</v>
      </c>
      <c r="B16" s="19" t="s">
        <v>6</v>
      </c>
      <c r="C16" s="19" t="s">
        <v>59</v>
      </c>
      <c r="D16" s="35">
        <f>300000/1000</f>
        <v>300</v>
      </c>
      <c r="E16" s="35"/>
      <c r="F16" s="35"/>
    </row>
    <row r="17" spans="1:6" s="63" customFormat="1" ht="14.25">
      <c r="A17" s="24" t="s">
        <v>274</v>
      </c>
      <c r="B17" s="26" t="s">
        <v>8</v>
      </c>
      <c r="C17" s="26" t="s">
        <v>3</v>
      </c>
      <c r="D17" s="61">
        <f>D18</f>
        <v>3197.8</v>
      </c>
      <c r="E17" s="61">
        <v>2605.5</v>
      </c>
      <c r="F17" s="61">
        <v>2605.5</v>
      </c>
    </row>
    <row r="18" spans="1:6" s="56" customFormat="1" ht="15">
      <c r="A18" s="14" t="s">
        <v>86</v>
      </c>
      <c r="B18" s="19" t="s">
        <v>8</v>
      </c>
      <c r="C18" s="19" t="s">
        <v>11</v>
      </c>
      <c r="D18" s="35">
        <f>3197800/1000</f>
        <v>3197.8</v>
      </c>
      <c r="E18" s="35">
        <v>2605.5</v>
      </c>
      <c r="F18" s="35">
        <v>2605.5</v>
      </c>
    </row>
    <row r="19" spans="1:6" s="63" customFormat="1" ht="28.5">
      <c r="A19" s="27" t="s">
        <v>33</v>
      </c>
      <c r="B19" s="26" t="s">
        <v>11</v>
      </c>
      <c r="C19" s="26" t="s">
        <v>3</v>
      </c>
      <c r="D19" s="61">
        <f>SUM(D20:D21)</f>
        <v>520</v>
      </c>
      <c r="E19" s="61">
        <v>520</v>
      </c>
      <c r="F19" s="61">
        <v>520</v>
      </c>
    </row>
    <row r="20" spans="1:6" s="56" customFormat="1" ht="30">
      <c r="A20" s="20" t="s">
        <v>318</v>
      </c>
      <c r="B20" s="19" t="s">
        <v>11</v>
      </c>
      <c r="C20" s="19" t="s">
        <v>25</v>
      </c>
      <c r="D20" s="35">
        <f>120000/1000</f>
        <v>120</v>
      </c>
      <c r="E20" s="35">
        <v>120</v>
      </c>
      <c r="F20" s="35">
        <v>120</v>
      </c>
    </row>
    <row r="21" spans="1:6" s="56" customFormat="1" ht="15">
      <c r="A21" s="14" t="s">
        <v>319</v>
      </c>
      <c r="B21" s="19" t="s">
        <v>11</v>
      </c>
      <c r="C21" s="19" t="s">
        <v>30</v>
      </c>
      <c r="D21" s="35">
        <f>400000/1000</f>
        <v>400</v>
      </c>
      <c r="E21" s="35">
        <v>400</v>
      </c>
      <c r="F21" s="35">
        <v>400</v>
      </c>
    </row>
    <row r="22" spans="1:6" s="63" customFormat="1" ht="14.25">
      <c r="A22" s="24" t="s">
        <v>24</v>
      </c>
      <c r="B22" s="26" t="s">
        <v>7</v>
      </c>
      <c r="C22" s="26" t="s">
        <v>3</v>
      </c>
      <c r="D22" s="61">
        <f>D23+D24</f>
        <v>123345.66</v>
      </c>
      <c r="E22" s="61">
        <v>105616.78287000001</v>
      </c>
      <c r="F22" s="61">
        <v>104598.78397</v>
      </c>
    </row>
    <row r="23" spans="1:6" s="56" customFormat="1" ht="15">
      <c r="A23" s="14" t="s">
        <v>320</v>
      </c>
      <c r="B23" s="19" t="s">
        <v>7</v>
      </c>
      <c r="C23" s="19" t="s">
        <v>25</v>
      </c>
      <c r="D23" s="35">
        <f>(15600000+88737310+704000+16304350)/1000</f>
        <v>121345.66</v>
      </c>
      <c r="E23" s="35">
        <v>104816.78287000001</v>
      </c>
      <c r="F23" s="35">
        <v>103798.78397</v>
      </c>
    </row>
    <row r="24" spans="1:6" s="56" customFormat="1" ht="15">
      <c r="A24" s="14" t="s">
        <v>321</v>
      </c>
      <c r="B24" s="19" t="s">
        <v>7</v>
      </c>
      <c r="C24" s="19" t="s">
        <v>12</v>
      </c>
      <c r="D24" s="35">
        <f>2000000/1000</f>
        <v>2000</v>
      </c>
      <c r="E24" s="35">
        <v>800</v>
      </c>
      <c r="F24" s="35">
        <v>800</v>
      </c>
    </row>
    <row r="25" spans="1:6" s="63" customFormat="1" ht="15" customHeight="1">
      <c r="A25" s="24" t="s">
        <v>276</v>
      </c>
      <c r="B25" s="26" t="s">
        <v>10</v>
      </c>
      <c r="C25" s="26" t="s">
        <v>3</v>
      </c>
      <c r="D25" s="61">
        <f>D26+D27+D28</f>
        <v>399484.496</v>
      </c>
      <c r="E25" s="61">
        <v>384447.67566</v>
      </c>
      <c r="F25" s="61">
        <v>23219.147739999997</v>
      </c>
    </row>
    <row r="26" spans="1:6" s="56" customFormat="1" ht="15">
      <c r="A26" s="18" t="s">
        <v>1</v>
      </c>
      <c r="B26" s="19" t="s">
        <v>10</v>
      </c>
      <c r="C26" s="19" t="s">
        <v>8</v>
      </c>
      <c r="D26" s="35">
        <f>364554100/1000</f>
        <v>364554.1</v>
      </c>
      <c r="E26" s="35">
        <v>364693.70046</v>
      </c>
      <c r="F26" s="35">
        <v>3465.17254</v>
      </c>
    </row>
    <row r="27" spans="1:6" s="56" customFormat="1" ht="15">
      <c r="A27" s="14" t="s">
        <v>322</v>
      </c>
      <c r="B27" s="19" t="s">
        <v>10</v>
      </c>
      <c r="C27" s="19" t="s">
        <v>11</v>
      </c>
      <c r="D27" s="35">
        <f>18138196/1000</f>
        <v>18138.196</v>
      </c>
      <c r="E27" s="35">
        <v>2992</v>
      </c>
      <c r="F27" s="35">
        <v>2992</v>
      </c>
    </row>
    <row r="28" spans="1:6" s="56" customFormat="1" ht="30">
      <c r="A28" s="14" t="s">
        <v>299</v>
      </c>
      <c r="B28" s="19" t="s">
        <v>10</v>
      </c>
      <c r="C28" s="19" t="s">
        <v>10</v>
      </c>
      <c r="D28" s="35">
        <f>16792200/1000</f>
        <v>16792.2</v>
      </c>
      <c r="E28" s="35">
        <v>16761.975199999997</v>
      </c>
      <c r="F28" s="35">
        <v>16761.975199999997</v>
      </c>
    </row>
    <row r="29" spans="1:6" s="63" customFormat="1" ht="14.25">
      <c r="A29" s="24" t="s">
        <v>279</v>
      </c>
      <c r="B29" s="26" t="s">
        <v>74</v>
      </c>
      <c r="C29" s="26" t="s">
        <v>3</v>
      </c>
      <c r="D29" s="61">
        <f>D30</f>
        <v>0</v>
      </c>
      <c r="E29" s="61">
        <v>1136.7391304347827</v>
      </c>
      <c r="F29" s="61">
        <v>6337.826086956522</v>
      </c>
    </row>
    <row r="30" spans="1:6" s="56" customFormat="1" ht="15">
      <c r="A30" s="14" t="s">
        <v>288</v>
      </c>
      <c r="B30" s="19" t="s">
        <v>74</v>
      </c>
      <c r="C30" s="19" t="s">
        <v>10</v>
      </c>
      <c r="D30" s="35">
        <v>0</v>
      </c>
      <c r="E30" s="35">
        <v>1136.7391304347827</v>
      </c>
      <c r="F30" s="35">
        <v>6337.826086956522</v>
      </c>
    </row>
    <row r="31" spans="1:6" s="63" customFormat="1" ht="14.25">
      <c r="A31" s="24" t="s">
        <v>72</v>
      </c>
      <c r="B31" s="26" t="s">
        <v>22</v>
      </c>
      <c r="C31" s="26" t="s">
        <v>3</v>
      </c>
      <c r="D31" s="61">
        <f>SUM(D32:D33)</f>
        <v>250</v>
      </c>
      <c r="E31" s="61">
        <v>250</v>
      </c>
      <c r="F31" s="61">
        <v>250</v>
      </c>
    </row>
    <row r="32" spans="1:6" s="56" customFormat="1" ht="30">
      <c r="A32" s="14" t="s">
        <v>71</v>
      </c>
      <c r="B32" s="19" t="s">
        <v>22</v>
      </c>
      <c r="C32" s="19" t="s">
        <v>10</v>
      </c>
      <c r="D32" s="35">
        <f>(100000+50000)/1000</f>
        <v>150</v>
      </c>
      <c r="E32" s="35">
        <v>150</v>
      </c>
      <c r="F32" s="35">
        <v>150</v>
      </c>
    </row>
    <row r="33" spans="1:6" s="56" customFormat="1" ht="15">
      <c r="A33" s="14" t="s">
        <v>323</v>
      </c>
      <c r="B33" s="19" t="s">
        <v>22</v>
      </c>
      <c r="C33" s="19" t="s">
        <v>22</v>
      </c>
      <c r="D33" s="35">
        <f>100000/1000</f>
        <v>100</v>
      </c>
      <c r="E33" s="35">
        <v>100</v>
      </c>
      <c r="F33" s="35">
        <v>100</v>
      </c>
    </row>
    <row r="34" spans="1:6" s="63" customFormat="1" ht="14.25">
      <c r="A34" s="24" t="s">
        <v>275</v>
      </c>
      <c r="B34" s="26" t="s">
        <v>9</v>
      </c>
      <c r="C34" s="26" t="s">
        <v>3</v>
      </c>
      <c r="D34" s="61">
        <f>D35</f>
        <v>19497.18</v>
      </c>
      <c r="E34" s="61">
        <v>19497.175</v>
      </c>
      <c r="F34" s="61">
        <v>19497.175</v>
      </c>
    </row>
    <row r="35" spans="1:6" s="56" customFormat="1" ht="15">
      <c r="A35" s="14" t="s">
        <v>324</v>
      </c>
      <c r="B35" s="19" t="s">
        <v>9</v>
      </c>
      <c r="C35" s="19" t="s">
        <v>6</v>
      </c>
      <c r="D35" s="35">
        <f>19497180/1000</f>
        <v>19497.18</v>
      </c>
      <c r="E35" s="35">
        <v>19497.175</v>
      </c>
      <c r="F35" s="35">
        <v>19497.175</v>
      </c>
    </row>
    <row r="36" spans="1:6" s="63" customFormat="1" ht="14.25">
      <c r="A36" s="24" t="s">
        <v>76</v>
      </c>
      <c r="B36" s="26" t="s">
        <v>30</v>
      </c>
      <c r="C36" s="26" t="s">
        <v>3</v>
      </c>
      <c r="D36" s="61">
        <f>SUM(D37:D38)</f>
        <v>831.424</v>
      </c>
      <c r="E36" s="61">
        <v>600</v>
      </c>
      <c r="F36" s="61">
        <v>600</v>
      </c>
    </row>
    <row r="37" spans="1:6" s="56" customFormat="1" ht="15">
      <c r="A37" s="14" t="s">
        <v>62</v>
      </c>
      <c r="B37" s="19" t="s">
        <v>30</v>
      </c>
      <c r="C37" s="19" t="s">
        <v>6</v>
      </c>
      <c r="D37" s="35">
        <f>731424/1000</f>
        <v>731.424</v>
      </c>
      <c r="E37" s="35">
        <v>500</v>
      </c>
      <c r="F37" s="35">
        <v>500</v>
      </c>
    </row>
    <row r="38" spans="1:6" s="56" customFormat="1" ht="15">
      <c r="A38" s="14" t="s">
        <v>108</v>
      </c>
      <c r="B38" s="19" t="s">
        <v>30</v>
      </c>
      <c r="C38" s="19" t="s">
        <v>74</v>
      </c>
      <c r="D38" s="35">
        <f>100000/1000</f>
        <v>100</v>
      </c>
      <c r="E38" s="35">
        <v>100</v>
      </c>
      <c r="F38" s="35">
        <v>100</v>
      </c>
    </row>
    <row r="39" spans="1:6" s="63" customFormat="1" ht="14.25">
      <c r="A39" s="28" t="s">
        <v>285</v>
      </c>
      <c r="B39" s="26" t="s">
        <v>17</v>
      </c>
      <c r="C39" s="26" t="s">
        <v>3</v>
      </c>
      <c r="D39" s="61">
        <f>D40</f>
        <v>1655.65</v>
      </c>
      <c r="E39" s="61">
        <v>695.7</v>
      </c>
      <c r="F39" s="61">
        <v>0</v>
      </c>
    </row>
    <row r="40" spans="1:6" s="56" customFormat="1" ht="20.25" customHeight="1">
      <c r="A40" s="21" t="s">
        <v>291</v>
      </c>
      <c r="B40" s="19" t="s">
        <v>17</v>
      </c>
      <c r="C40" s="19" t="s">
        <v>6</v>
      </c>
      <c r="D40" s="35">
        <f>1655650/1000</f>
        <v>1655.65</v>
      </c>
      <c r="E40" s="35">
        <v>695.7</v>
      </c>
      <c r="F40" s="35">
        <v>0</v>
      </c>
    </row>
    <row r="41" spans="1:6" s="63" customFormat="1" ht="39.75" customHeight="1">
      <c r="A41" s="28" t="s">
        <v>277</v>
      </c>
      <c r="B41" s="26" t="s">
        <v>59</v>
      </c>
      <c r="C41" s="26" t="s">
        <v>3</v>
      </c>
      <c r="D41" s="61">
        <f>D42</f>
        <v>146.24262</v>
      </c>
      <c r="E41" s="61">
        <v>182.59823</v>
      </c>
      <c r="F41" s="61">
        <v>1.9264</v>
      </c>
    </row>
    <row r="42" spans="1:6" s="56" customFormat="1" ht="39" customHeight="1">
      <c r="A42" s="21" t="s">
        <v>58</v>
      </c>
      <c r="B42" s="19" t="s">
        <v>59</v>
      </c>
      <c r="C42" s="19" t="s">
        <v>6</v>
      </c>
      <c r="D42" s="35">
        <f>146242.62/1000</f>
        <v>146.24262</v>
      </c>
      <c r="E42" s="35">
        <v>182.59823</v>
      </c>
      <c r="F42" s="35">
        <v>1.9264</v>
      </c>
    </row>
    <row r="43" spans="1:6" s="63" customFormat="1" ht="57.75" customHeight="1">
      <c r="A43" s="28" t="s">
        <v>278</v>
      </c>
      <c r="B43" s="26" t="s">
        <v>23</v>
      </c>
      <c r="C43" s="26" t="s">
        <v>3</v>
      </c>
      <c r="D43" s="61">
        <f>D44</f>
        <v>623.8011700000001</v>
      </c>
      <c r="E43" s="61">
        <v>636.63163</v>
      </c>
      <c r="F43" s="61">
        <v>636.63163</v>
      </c>
    </row>
    <row r="44" spans="1:6" s="56" customFormat="1" ht="60" customHeight="1">
      <c r="A44" s="14" t="s">
        <v>325</v>
      </c>
      <c r="B44" s="19" t="s">
        <v>23</v>
      </c>
      <c r="C44" s="19" t="s">
        <v>11</v>
      </c>
      <c r="D44" s="35">
        <f>623801.17/1000</f>
        <v>623.8011700000001</v>
      </c>
      <c r="E44" s="35">
        <v>636.63163</v>
      </c>
      <c r="F44" s="35">
        <v>636.63163</v>
      </c>
    </row>
  </sheetData>
  <sheetProtection/>
  <mergeCells count="9">
    <mergeCell ref="A1:D1"/>
    <mergeCell ref="A2:D2"/>
    <mergeCell ref="A3:D3"/>
    <mergeCell ref="A4:D4"/>
    <mergeCell ref="A8:E8"/>
    <mergeCell ref="D9:E9"/>
    <mergeCell ref="A5:D5"/>
    <mergeCell ref="A6:D6"/>
    <mergeCell ref="A7:D7"/>
  </mergeCells>
  <printOptions/>
  <pageMargins left="0.2362204724409449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="60" zoomScalePageLayoutView="0" workbookViewId="0" topLeftCell="A4">
      <selection activeCell="A1" sqref="A1"/>
    </sheetView>
  </sheetViews>
  <sheetFormatPr defaultColWidth="9.00390625" defaultRowHeight="12.75"/>
  <cols>
    <col min="1" max="1" width="48.625" style="65" customWidth="1"/>
    <col min="2" max="2" width="6.00390625" style="39" customWidth="1"/>
    <col min="3" max="3" width="5.125" style="39" customWidth="1"/>
    <col min="4" max="4" width="11.875" style="39" customWidth="1"/>
    <col min="5" max="5" width="16.625" style="39" customWidth="1"/>
    <col min="6" max="16384" width="9.125" style="66" customWidth="1"/>
  </cols>
  <sheetData>
    <row r="1" spans="1:11" s="1" customFormat="1" ht="116.25" customHeight="1">
      <c r="A1" s="10"/>
      <c r="B1" s="206" t="s">
        <v>485</v>
      </c>
      <c r="C1" s="206"/>
      <c r="D1" s="206"/>
      <c r="E1" s="206"/>
      <c r="F1" s="3"/>
      <c r="G1" s="3"/>
      <c r="H1" s="3"/>
      <c r="I1" s="3"/>
      <c r="J1" s="3"/>
      <c r="K1" s="3"/>
    </row>
    <row r="2" spans="1:5" ht="54.75" customHeight="1">
      <c r="A2" s="207" t="s">
        <v>486</v>
      </c>
      <c r="B2" s="207"/>
      <c r="C2" s="207"/>
      <c r="D2" s="207"/>
      <c r="E2" s="207"/>
    </row>
    <row r="3" spans="1:5" ht="15">
      <c r="A3" s="67"/>
      <c r="B3" s="68"/>
      <c r="E3" s="39" t="s">
        <v>13</v>
      </c>
    </row>
    <row r="4" spans="1:5" s="69" customFormat="1" ht="24.75" customHeight="1">
      <c r="A4" s="41" t="s">
        <v>5</v>
      </c>
      <c r="B4" s="41" t="s">
        <v>2</v>
      </c>
      <c r="C4" s="41" t="s">
        <v>4</v>
      </c>
      <c r="D4" s="41" t="s">
        <v>313</v>
      </c>
      <c r="E4" s="41" t="s">
        <v>487</v>
      </c>
    </row>
    <row r="5" spans="1:5" ht="15">
      <c r="A5" s="25" t="s">
        <v>19</v>
      </c>
      <c r="B5" s="26" t="s">
        <v>3</v>
      </c>
      <c r="C5" s="26" t="s">
        <v>3</v>
      </c>
      <c r="D5" s="61">
        <f>D6+D11+D13+D16+D19+D23+D25+D28+D30+D33+D35+D37</f>
        <v>235852.96</v>
      </c>
      <c r="E5" s="61">
        <f>E6+E11+E13+E16+E19+E23+E25+E28+E30+E33+E35+E37</f>
        <v>229733.74998999998</v>
      </c>
    </row>
    <row r="6" spans="1:5" ht="15">
      <c r="A6" s="25" t="s">
        <v>0</v>
      </c>
      <c r="B6" s="26" t="s">
        <v>6</v>
      </c>
      <c r="C6" s="26" t="s">
        <v>3</v>
      </c>
      <c r="D6" s="61">
        <f>SUM(D7:D10)</f>
        <v>57678.81243</v>
      </c>
      <c r="E6" s="61">
        <f>SUM(E7:E10)</f>
        <v>85013.27482</v>
      </c>
    </row>
    <row r="7" spans="1:5" ht="45">
      <c r="A7" s="14" t="s">
        <v>79</v>
      </c>
      <c r="B7" s="19" t="s">
        <v>6</v>
      </c>
      <c r="C7" s="19" t="s">
        <v>8</v>
      </c>
      <c r="D7" s="35">
        <f>3857027.87/1000</f>
        <v>3857.02787</v>
      </c>
      <c r="E7" s="35">
        <f>3857027.87/1000</f>
        <v>3857.02787</v>
      </c>
    </row>
    <row r="8" spans="1:5" ht="60">
      <c r="A8" s="14" t="s">
        <v>47</v>
      </c>
      <c r="B8" s="19" t="s">
        <v>6</v>
      </c>
      <c r="C8" s="19" t="s">
        <v>7</v>
      </c>
      <c r="D8" s="35">
        <f>(53100284.56+120800+700)/1000</f>
        <v>53221.78456</v>
      </c>
      <c r="E8" s="35">
        <f>(80434746.95+120800+700)/1000</f>
        <v>80556.24695</v>
      </c>
    </row>
    <row r="9" spans="1:5" ht="15">
      <c r="A9" s="14" t="s">
        <v>20</v>
      </c>
      <c r="B9" s="19" t="s">
        <v>6</v>
      </c>
      <c r="C9" s="19" t="s">
        <v>17</v>
      </c>
      <c r="D9" s="35">
        <f>300000/1000</f>
        <v>300</v>
      </c>
      <c r="E9" s="35">
        <f>300000/1000</f>
        <v>300</v>
      </c>
    </row>
    <row r="10" spans="1:5" ht="30">
      <c r="A10" s="14" t="s">
        <v>92</v>
      </c>
      <c r="B10" s="19" t="s">
        <v>6</v>
      </c>
      <c r="C10" s="19" t="s">
        <v>59</v>
      </c>
      <c r="D10" s="35">
        <f>300000/1000</f>
        <v>300</v>
      </c>
      <c r="E10" s="35">
        <f>300000/1000</f>
        <v>300</v>
      </c>
    </row>
    <row r="11" spans="1:5" ht="15">
      <c r="A11" s="24" t="s">
        <v>274</v>
      </c>
      <c r="B11" s="26" t="s">
        <v>8</v>
      </c>
      <c r="C11" s="26" t="s">
        <v>3</v>
      </c>
      <c r="D11" s="61">
        <f>D12</f>
        <v>3316.9</v>
      </c>
      <c r="E11" s="61">
        <f>E12</f>
        <v>0</v>
      </c>
    </row>
    <row r="12" spans="1:5" ht="31.5" customHeight="1">
      <c r="A12" s="14" t="s">
        <v>86</v>
      </c>
      <c r="B12" s="19" t="s">
        <v>8</v>
      </c>
      <c r="C12" s="19" t="s">
        <v>11</v>
      </c>
      <c r="D12" s="35">
        <f>3316900/1000</f>
        <v>3316.9</v>
      </c>
      <c r="E12" s="35">
        <v>0</v>
      </c>
    </row>
    <row r="13" spans="1:5" ht="42.75">
      <c r="A13" s="27" t="s">
        <v>33</v>
      </c>
      <c r="B13" s="26" t="s">
        <v>11</v>
      </c>
      <c r="C13" s="26" t="s">
        <v>3</v>
      </c>
      <c r="D13" s="61">
        <f>SUM(D14:D15)</f>
        <v>520</v>
      </c>
      <c r="E13" s="61">
        <f>SUM(E14:E15)</f>
        <v>520</v>
      </c>
    </row>
    <row r="14" spans="1:5" ht="45">
      <c r="A14" s="20" t="s">
        <v>318</v>
      </c>
      <c r="B14" s="19" t="s">
        <v>11</v>
      </c>
      <c r="C14" s="19" t="s">
        <v>25</v>
      </c>
      <c r="D14" s="35">
        <f>120000/1000</f>
        <v>120</v>
      </c>
      <c r="E14" s="35">
        <f>120000/1000</f>
        <v>120</v>
      </c>
    </row>
    <row r="15" spans="1:5" ht="15">
      <c r="A15" s="14" t="s">
        <v>319</v>
      </c>
      <c r="B15" s="19" t="s">
        <v>11</v>
      </c>
      <c r="C15" s="19" t="s">
        <v>30</v>
      </c>
      <c r="D15" s="35">
        <f>400000/1000</f>
        <v>400</v>
      </c>
      <c r="E15" s="35">
        <f>400000/1000</f>
        <v>400</v>
      </c>
    </row>
    <row r="16" spans="1:5" ht="15">
      <c r="A16" s="24" t="s">
        <v>24</v>
      </c>
      <c r="B16" s="26" t="s">
        <v>7</v>
      </c>
      <c r="C16" s="26" t="s">
        <v>3</v>
      </c>
      <c r="D16" s="61">
        <f>D17+D18</f>
        <v>112167.87</v>
      </c>
      <c r="E16" s="61">
        <f>E17+E18</f>
        <v>102525.87</v>
      </c>
    </row>
    <row r="17" spans="1:5" ht="15">
      <c r="A17" s="14" t="s">
        <v>320</v>
      </c>
      <c r="B17" s="19" t="s">
        <v>7</v>
      </c>
      <c r="C17" s="19" t="s">
        <v>25</v>
      </c>
      <c r="D17" s="35">
        <f>111967870/1000</f>
        <v>111967.87</v>
      </c>
      <c r="E17" s="35">
        <f>102325870/1000</f>
        <v>102325.87</v>
      </c>
    </row>
    <row r="18" spans="1:5" ht="30">
      <c r="A18" s="14" t="s">
        <v>321</v>
      </c>
      <c r="B18" s="19" t="s">
        <v>7</v>
      </c>
      <c r="C18" s="19" t="s">
        <v>12</v>
      </c>
      <c r="D18" s="35">
        <f>200000/1000</f>
        <v>200</v>
      </c>
      <c r="E18" s="35">
        <f>200000/1000</f>
        <v>200</v>
      </c>
    </row>
    <row r="19" spans="1:5" ht="28.5">
      <c r="A19" s="24" t="s">
        <v>276</v>
      </c>
      <c r="B19" s="26" t="s">
        <v>10</v>
      </c>
      <c r="C19" s="26" t="s">
        <v>3</v>
      </c>
      <c r="D19" s="61">
        <f>D20+D21+D22</f>
        <v>39704.026</v>
      </c>
      <c r="E19" s="61">
        <f>E20+E21+E22</f>
        <v>20572.2</v>
      </c>
    </row>
    <row r="20" spans="1:5" ht="15">
      <c r="A20" s="18" t="s">
        <v>1</v>
      </c>
      <c r="B20" s="19" t="s">
        <v>10</v>
      </c>
      <c r="C20" s="19" t="s">
        <v>8</v>
      </c>
      <c r="D20" s="35">
        <f>4580000/1000</f>
        <v>4580</v>
      </c>
      <c r="E20" s="35">
        <f>1280000/1000</f>
        <v>1280</v>
      </c>
    </row>
    <row r="21" spans="1:5" ht="15">
      <c r="A21" s="14" t="s">
        <v>322</v>
      </c>
      <c r="B21" s="19" t="s">
        <v>10</v>
      </c>
      <c r="C21" s="19" t="s">
        <v>11</v>
      </c>
      <c r="D21" s="35">
        <f>18331826/1000</f>
        <v>18331.826</v>
      </c>
      <c r="E21" s="35">
        <f>2500000/1000</f>
        <v>2500</v>
      </c>
    </row>
    <row r="22" spans="1:5" ht="30">
      <c r="A22" s="14" t="s">
        <v>299</v>
      </c>
      <c r="B22" s="19" t="s">
        <v>10</v>
      </c>
      <c r="C22" s="19" t="s">
        <v>10</v>
      </c>
      <c r="D22" s="35">
        <f>16792200/1000</f>
        <v>16792.2</v>
      </c>
      <c r="E22" s="35">
        <f>16792200/1000</f>
        <v>16792.2</v>
      </c>
    </row>
    <row r="23" spans="1:5" ht="15">
      <c r="A23" s="24" t="s">
        <v>279</v>
      </c>
      <c r="B23" s="26" t="s">
        <v>74</v>
      </c>
      <c r="C23" s="26" t="s">
        <v>3</v>
      </c>
      <c r="D23" s="61">
        <f>D24</f>
        <v>0</v>
      </c>
      <c r="E23" s="61">
        <f>E24</f>
        <v>0</v>
      </c>
    </row>
    <row r="24" spans="1:5" ht="30">
      <c r="A24" s="14" t="s">
        <v>288</v>
      </c>
      <c r="B24" s="19" t="s">
        <v>74</v>
      </c>
      <c r="C24" s="19" t="s">
        <v>10</v>
      </c>
      <c r="D24" s="35">
        <v>0</v>
      </c>
      <c r="E24" s="35">
        <v>0</v>
      </c>
    </row>
    <row r="25" spans="1:5" ht="15">
      <c r="A25" s="24" t="s">
        <v>72</v>
      </c>
      <c r="B25" s="26" t="s">
        <v>22</v>
      </c>
      <c r="C25" s="26" t="s">
        <v>3</v>
      </c>
      <c r="D25" s="61">
        <f>SUM(D26:D27)</f>
        <v>250</v>
      </c>
      <c r="E25" s="61">
        <f>SUM(E26:E27)</f>
        <v>250</v>
      </c>
    </row>
    <row r="26" spans="1:5" ht="30">
      <c r="A26" s="14" t="s">
        <v>71</v>
      </c>
      <c r="B26" s="19" t="s">
        <v>22</v>
      </c>
      <c r="C26" s="19" t="s">
        <v>10</v>
      </c>
      <c r="D26" s="35">
        <f>(100000+50000)/1000</f>
        <v>150</v>
      </c>
      <c r="E26" s="35">
        <f>(100000+50000)/1000</f>
        <v>150</v>
      </c>
    </row>
    <row r="27" spans="1:5" ht="15">
      <c r="A27" s="14" t="s">
        <v>323</v>
      </c>
      <c r="B27" s="19" t="s">
        <v>22</v>
      </c>
      <c r="C27" s="19" t="s">
        <v>22</v>
      </c>
      <c r="D27" s="35">
        <f>100000/1000</f>
        <v>100</v>
      </c>
      <c r="E27" s="35">
        <f>100000/1000</f>
        <v>100</v>
      </c>
    </row>
    <row r="28" spans="1:5" ht="15">
      <c r="A28" s="24" t="s">
        <v>275</v>
      </c>
      <c r="B28" s="26" t="s">
        <v>9</v>
      </c>
      <c r="C28" s="26" t="s">
        <v>3</v>
      </c>
      <c r="D28" s="61">
        <f>D29</f>
        <v>19497.18</v>
      </c>
      <c r="E28" s="61">
        <f>E29</f>
        <v>19497.18</v>
      </c>
    </row>
    <row r="29" spans="1:5" ht="15">
      <c r="A29" s="14" t="s">
        <v>324</v>
      </c>
      <c r="B29" s="19" t="s">
        <v>9</v>
      </c>
      <c r="C29" s="19" t="s">
        <v>6</v>
      </c>
      <c r="D29" s="35">
        <f>19497180/1000</f>
        <v>19497.18</v>
      </c>
      <c r="E29" s="35">
        <f>19497180/1000</f>
        <v>19497.18</v>
      </c>
    </row>
    <row r="30" spans="1:5" ht="15">
      <c r="A30" s="24" t="s">
        <v>76</v>
      </c>
      <c r="B30" s="26" t="s">
        <v>30</v>
      </c>
      <c r="C30" s="26" t="s">
        <v>3</v>
      </c>
      <c r="D30" s="61">
        <f>SUM(D31:D32)</f>
        <v>831.424</v>
      </c>
      <c r="E30" s="61">
        <f>SUM(E31:E32)</f>
        <v>731.424</v>
      </c>
    </row>
    <row r="31" spans="1:5" ht="15">
      <c r="A31" s="14" t="s">
        <v>62</v>
      </c>
      <c r="B31" s="19" t="s">
        <v>30</v>
      </c>
      <c r="C31" s="19" t="s">
        <v>6</v>
      </c>
      <c r="D31" s="35">
        <f>731424/1000</f>
        <v>731.424</v>
      </c>
      <c r="E31" s="35">
        <f>731424/1000</f>
        <v>731.424</v>
      </c>
    </row>
    <row r="32" spans="1:5" ht="15">
      <c r="A32" s="14" t="s">
        <v>108</v>
      </c>
      <c r="B32" s="19" t="s">
        <v>30</v>
      </c>
      <c r="C32" s="19" t="s">
        <v>74</v>
      </c>
      <c r="D32" s="35">
        <f>100000/1000</f>
        <v>100</v>
      </c>
      <c r="E32" s="35">
        <v>0</v>
      </c>
    </row>
    <row r="33" spans="1:5" ht="15">
      <c r="A33" s="28" t="s">
        <v>285</v>
      </c>
      <c r="B33" s="26" t="s">
        <v>17</v>
      </c>
      <c r="C33" s="26" t="s">
        <v>3</v>
      </c>
      <c r="D33" s="61">
        <f>D34</f>
        <v>1261.02</v>
      </c>
      <c r="E33" s="61">
        <f>E34</f>
        <v>0</v>
      </c>
    </row>
    <row r="34" spans="1:5" ht="15">
      <c r="A34" s="21" t="s">
        <v>291</v>
      </c>
      <c r="B34" s="19" t="s">
        <v>17</v>
      </c>
      <c r="C34" s="19" t="s">
        <v>6</v>
      </c>
      <c r="D34" s="35">
        <f>1261020/1000</f>
        <v>1261.02</v>
      </c>
      <c r="E34" s="35">
        <v>0</v>
      </c>
    </row>
    <row r="35" spans="1:5" ht="28.5">
      <c r="A35" s="28" t="s">
        <v>277</v>
      </c>
      <c r="B35" s="26" t="s">
        <v>59</v>
      </c>
      <c r="C35" s="26" t="s">
        <v>3</v>
      </c>
      <c r="D35" s="61">
        <f>D36</f>
        <v>1.9264000000000001</v>
      </c>
      <c r="E35" s="61">
        <f>E36</f>
        <v>0</v>
      </c>
    </row>
    <row r="36" spans="1:5" ht="30">
      <c r="A36" s="21" t="s">
        <v>58</v>
      </c>
      <c r="B36" s="19" t="s">
        <v>59</v>
      </c>
      <c r="C36" s="19" t="s">
        <v>6</v>
      </c>
      <c r="D36" s="35">
        <f>1926.4/1000</f>
        <v>1.9264000000000001</v>
      </c>
      <c r="E36" s="35">
        <v>0</v>
      </c>
    </row>
    <row r="37" spans="1:5" ht="57">
      <c r="A37" s="28" t="s">
        <v>278</v>
      </c>
      <c r="B37" s="26" t="s">
        <v>23</v>
      </c>
      <c r="C37" s="26" t="s">
        <v>3</v>
      </c>
      <c r="D37" s="61">
        <f>D38</f>
        <v>623.8011700000001</v>
      </c>
      <c r="E37" s="61">
        <f>E38</f>
        <v>623.8011700000001</v>
      </c>
    </row>
    <row r="38" spans="1:5" ht="45">
      <c r="A38" s="14" t="s">
        <v>325</v>
      </c>
      <c r="B38" s="19" t="s">
        <v>23</v>
      </c>
      <c r="C38" s="19" t="s">
        <v>11</v>
      </c>
      <c r="D38" s="35">
        <f>623801.17/1000</f>
        <v>623.8011700000001</v>
      </c>
      <c r="E38" s="35">
        <f>623801.17/1000</f>
        <v>623.8011700000001</v>
      </c>
    </row>
  </sheetData>
  <sheetProtection/>
  <mergeCells count="2">
    <mergeCell ref="B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="60" zoomScalePageLayoutView="0" workbookViewId="0" topLeftCell="A25">
      <selection activeCell="A7" sqref="A7:D7"/>
    </sheetView>
  </sheetViews>
  <sheetFormatPr defaultColWidth="9.00390625" defaultRowHeight="12.75"/>
  <cols>
    <col min="1" max="1" width="69.125" style="70" customWidth="1"/>
    <col min="2" max="2" width="15.75390625" style="60" customWidth="1"/>
    <col min="3" max="3" width="6.00390625" style="60" customWidth="1"/>
    <col min="4" max="4" width="14.125" style="55" bestFit="1" customWidth="1"/>
    <col min="5" max="5" width="13.875" style="47" hidden="1" customWidth="1"/>
    <col min="6" max="6" width="14.375" style="47" hidden="1" customWidth="1"/>
    <col min="7" max="7" width="12.375" style="47" customWidth="1"/>
    <col min="8" max="8" width="13.125" style="47" customWidth="1"/>
    <col min="9" max="16384" width="9.125" style="47" customWidth="1"/>
  </cols>
  <sheetData>
    <row r="1" spans="1:4" s="11" customFormat="1" ht="14.25" customHeight="1">
      <c r="A1" s="13"/>
      <c r="B1" s="12"/>
      <c r="C1" s="12"/>
      <c r="D1" s="32" t="s">
        <v>105</v>
      </c>
    </row>
    <row r="2" spans="1:5" s="11" customFormat="1" ht="14.25" customHeight="1">
      <c r="A2" s="208" t="s">
        <v>300</v>
      </c>
      <c r="B2" s="208"/>
      <c r="C2" s="208"/>
      <c r="D2" s="208"/>
      <c r="E2" s="29"/>
    </row>
    <row r="3" spans="1:5" s="11" customFormat="1" ht="14.25" customHeight="1">
      <c r="A3" s="208" t="s">
        <v>340</v>
      </c>
      <c r="B3" s="208"/>
      <c r="C3" s="208"/>
      <c r="D3" s="208"/>
      <c r="E3" s="29"/>
    </row>
    <row r="4" spans="1:5" s="11" customFormat="1" ht="14.25" customHeight="1">
      <c r="A4" s="208" t="s">
        <v>341</v>
      </c>
      <c r="B4" s="208"/>
      <c r="C4" s="208"/>
      <c r="D4" s="208"/>
      <c r="E4" s="29"/>
    </row>
    <row r="5" spans="1:5" s="11" customFormat="1" ht="14.25" customHeight="1">
      <c r="A5" s="208" t="s">
        <v>342</v>
      </c>
      <c r="B5" s="208"/>
      <c r="C5" s="208"/>
      <c r="D5" s="208"/>
      <c r="E5" s="29"/>
    </row>
    <row r="6" spans="1:5" s="11" customFormat="1" ht="14.25" customHeight="1">
      <c r="A6" s="208" t="s">
        <v>337</v>
      </c>
      <c r="B6" s="208"/>
      <c r="C6" s="208"/>
      <c r="D6" s="208"/>
      <c r="E6" s="29"/>
    </row>
    <row r="7" spans="1:5" s="11" customFormat="1" ht="14.25" customHeight="1">
      <c r="A7" s="208" t="s">
        <v>488</v>
      </c>
      <c r="B7" s="208"/>
      <c r="C7" s="208"/>
      <c r="D7" s="208"/>
      <c r="E7" s="29"/>
    </row>
    <row r="8" spans="1:5" s="11" customFormat="1" ht="14.25" customHeight="1">
      <c r="A8" s="208" t="s">
        <v>483</v>
      </c>
      <c r="B8" s="208"/>
      <c r="C8" s="208"/>
      <c r="D8" s="208"/>
      <c r="E8" s="30"/>
    </row>
    <row r="9" spans="1:4" ht="14.25" customHeight="1">
      <c r="A9" s="180" t="s">
        <v>489</v>
      </c>
      <c r="B9" s="180"/>
      <c r="C9" s="180"/>
      <c r="D9" s="180"/>
    </row>
    <row r="10" spans="1:4" ht="47.25" customHeight="1">
      <c r="A10" s="209"/>
      <c r="B10" s="209"/>
      <c r="C10" s="209"/>
      <c r="D10" s="209"/>
    </row>
    <row r="11" spans="1:6" ht="15">
      <c r="A11" s="178" t="s">
        <v>5</v>
      </c>
      <c r="B11" s="178" t="s">
        <v>14</v>
      </c>
      <c r="C11" s="178" t="s">
        <v>15</v>
      </c>
      <c r="D11" s="71" t="s">
        <v>468</v>
      </c>
      <c r="E11" s="43" t="s">
        <v>289</v>
      </c>
      <c r="F11" s="43" t="s">
        <v>290</v>
      </c>
    </row>
    <row r="12" spans="1:8" s="50" customFormat="1" ht="14.25">
      <c r="A12" s="178" t="s">
        <v>19</v>
      </c>
      <c r="B12" s="178"/>
      <c r="C12" s="178"/>
      <c r="D12" s="61">
        <f>D37+D13+D15+D17+D19+D21+D23+D25+D27+D29+D31+D33+D35</f>
        <v>616033.1075</v>
      </c>
      <c r="E12" s="73">
        <v>592363.6849204347</v>
      </c>
      <c r="F12" s="73">
        <v>234904.29112695652</v>
      </c>
      <c r="H12" s="49"/>
    </row>
    <row r="13" spans="1:6" s="63" customFormat="1" ht="40.5" customHeight="1">
      <c r="A13" s="24" t="s">
        <v>67</v>
      </c>
      <c r="B13" s="176" t="s">
        <v>85</v>
      </c>
      <c r="C13" s="176" t="s">
        <v>16</v>
      </c>
      <c r="D13" s="61">
        <f>D14</f>
        <v>120.8</v>
      </c>
      <c r="E13" s="73">
        <v>62390.2824</v>
      </c>
      <c r="F13" s="73">
        <v>63686.1003</v>
      </c>
    </row>
    <row r="14" spans="1:6" s="56" customFormat="1" ht="30">
      <c r="A14" s="14" t="s">
        <v>81</v>
      </c>
      <c r="B14" s="175" t="s">
        <v>73</v>
      </c>
      <c r="C14" s="175" t="s">
        <v>411</v>
      </c>
      <c r="D14" s="35">
        <f>120800/1000</f>
        <v>120.8</v>
      </c>
      <c r="E14" s="72">
        <v>48364.56</v>
      </c>
      <c r="F14" s="72">
        <v>49369.07</v>
      </c>
    </row>
    <row r="15" spans="1:6" s="63" customFormat="1" ht="78.75" customHeight="1">
      <c r="A15" s="93" t="s">
        <v>507</v>
      </c>
      <c r="B15" s="176" t="s">
        <v>85</v>
      </c>
      <c r="C15" s="176" t="s">
        <v>16</v>
      </c>
      <c r="D15" s="61">
        <f>D16</f>
        <v>0.7</v>
      </c>
      <c r="E15" s="73"/>
      <c r="F15" s="73"/>
    </row>
    <row r="16" spans="1:6" s="56" customFormat="1" ht="30">
      <c r="A16" s="14" t="s">
        <v>82</v>
      </c>
      <c r="B16" s="175" t="s">
        <v>63</v>
      </c>
      <c r="C16" s="175" t="s">
        <v>83</v>
      </c>
      <c r="D16" s="35">
        <f>700/1000</f>
        <v>0.7</v>
      </c>
      <c r="E16" s="72">
        <v>14025.722399999999</v>
      </c>
      <c r="F16" s="72">
        <v>14317.0303</v>
      </c>
    </row>
    <row r="17" spans="1:6" s="63" customFormat="1" ht="14.25">
      <c r="A17" s="24" t="s">
        <v>86</v>
      </c>
      <c r="B17" s="176" t="s">
        <v>36</v>
      </c>
      <c r="C17" s="176" t="s">
        <v>16</v>
      </c>
      <c r="D17" s="61">
        <f>D18</f>
        <v>3197.8</v>
      </c>
      <c r="E17" s="73">
        <v>50</v>
      </c>
      <c r="F17" s="73">
        <v>50</v>
      </c>
    </row>
    <row r="18" spans="1:6" s="56" customFormat="1" ht="30">
      <c r="A18" s="14" t="s">
        <v>81</v>
      </c>
      <c r="B18" s="175" t="s">
        <v>37</v>
      </c>
      <c r="C18" s="175" t="s">
        <v>411</v>
      </c>
      <c r="D18" s="35">
        <f>3197800/1000</f>
        <v>3197.8</v>
      </c>
      <c r="E18" s="72">
        <v>139.1</v>
      </c>
      <c r="F18" s="72">
        <v>139.1</v>
      </c>
    </row>
    <row r="19" spans="1:6" s="63" customFormat="1" ht="42.75">
      <c r="A19" s="24" t="s">
        <v>329</v>
      </c>
      <c r="B19" s="43" t="s">
        <v>89</v>
      </c>
      <c r="C19" s="176" t="s">
        <v>16</v>
      </c>
      <c r="D19" s="61">
        <f>SUM(D20)</f>
        <v>400</v>
      </c>
      <c r="E19" s="73">
        <v>300</v>
      </c>
      <c r="F19" s="73">
        <v>300</v>
      </c>
    </row>
    <row r="20" spans="1:6" s="56" customFormat="1" ht="30">
      <c r="A20" s="14" t="s">
        <v>88</v>
      </c>
      <c r="B20" s="17" t="s">
        <v>90</v>
      </c>
      <c r="C20" s="175" t="s">
        <v>83</v>
      </c>
      <c r="D20" s="35">
        <f>400000/1000</f>
        <v>400</v>
      </c>
      <c r="E20" s="72">
        <v>300</v>
      </c>
      <c r="F20" s="72">
        <v>300</v>
      </c>
    </row>
    <row r="21" spans="1:6" s="63" customFormat="1" ht="42.75">
      <c r="A21" s="24" t="s">
        <v>317</v>
      </c>
      <c r="B21" s="176" t="s">
        <v>106</v>
      </c>
      <c r="C21" s="176" t="s">
        <v>16</v>
      </c>
      <c r="D21" s="61">
        <f>SUM(D22:D22)</f>
        <v>15600</v>
      </c>
      <c r="E21" s="73">
        <v>2729.8</v>
      </c>
      <c r="F21" s="73">
        <v>2831.4</v>
      </c>
    </row>
    <row r="22" spans="1:6" s="56" customFormat="1" ht="30">
      <c r="A22" s="14" t="s">
        <v>88</v>
      </c>
      <c r="B22" s="175" t="s">
        <v>75</v>
      </c>
      <c r="C22" s="175" t="s">
        <v>83</v>
      </c>
      <c r="D22" s="35">
        <f>15600000/1000</f>
        <v>15600</v>
      </c>
      <c r="E22" s="72">
        <v>1910.86</v>
      </c>
      <c r="F22" s="72">
        <v>1981.98</v>
      </c>
    </row>
    <row r="23" spans="1:6" s="63" customFormat="1" ht="36" customHeight="1">
      <c r="A23" s="93" t="s">
        <v>454</v>
      </c>
      <c r="B23" s="176" t="s">
        <v>106</v>
      </c>
      <c r="C23" s="176" t="s">
        <v>16</v>
      </c>
      <c r="D23" s="61">
        <f>D24</f>
        <v>88737.31</v>
      </c>
      <c r="E23" s="73">
        <v>120</v>
      </c>
      <c r="F23" s="73">
        <v>120</v>
      </c>
    </row>
    <row r="24" spans="1:6" s="56" customFormat="1" ht="30">
      <c r="A24" s="14" t="s">
        <v>88</v>
      </c>
      <c r="B24" s="175" t="s">
        <v>352</v>
      </c>
      <c r="C24" s="175" t="s">
        <v>83</v>
      </c>
      <c r="D24" s="35">
        <f>88737310/1000</f>
        <v>88737.31</v>
      </c>
      <c r="E24" s="72">
        <v>120</v>
      </c>
      <c r="F24" s="72">
        <v>120</v>
      </c>
    </row>
    <row r="25" spans="1:6" s="63" customFormat="1" ht="28.5">
      <c r="A25" s="93" t="s">
        <v>455</v>
      </c>
      <c r="B25" s="176" t="s">
        <v>91</v>
      </c>
      <c r="C25" s="176" t="s">
        <v>16</v>
      </c>
      <c r="D25" s="61">
        <f>D26</f>
        <v>16304.35</v>
      </c>
      <c r="E25" s="73">
        <v>400</v>
      </c>
      <c r="F25" s="73">
        <v>400</v>
      </c>
    </row>
    <row r="26" spans="1:6" s="56" customFormat="1" ht="30">
      <c r="A26" s="14" t="s">
        <v>88</v>
      </c>
      <c r="B26" s="175" t="s">
        <v>68</v>
      </c>
      <c r="C26" s="175" t="s">
        <v>83</v>
      </c>
      <c r="D26" s="35">
        <f>16304350/1000</f>
        <v>16304.35</v>
      </c>
      <c r="E26" s="72">
        <v>300</v>
      </c>
      <c r="F26" s="72">
        <v>300</v>
      </c>
    </row>
    <row r="27" spans="1:6" s="56" customFormat="1" ht="28.5">
      <c r="A27" s="93" t="s">
        <v>40</v>
      </c>
      <c r="B27" s="176" t="s">
        <v>66</v>
      </c>
      <c r="C27" s="176" t="s">
        <v>16</v>
      </c>
      <c r="D27" s="61">
        <f>SUM(D28:D28)</f>
        <v>1830</v>
      </c>
      <c r="E27" s="72">
        <v>0</v>
      </c>
      <c r="F27" s="72">
        <v>0</v>
      </c>
    </row>
    <row r="28" spans="1:6" s="56" customFormat="1" ht="30">
      <c r="A28" s="14" t="s">
        <v>294</v>
      </c>
      <c r="B28" s="175" t="s">
        <v>343</v>
      </c>
      <c r="C28" s="175" t="s">
        <v>83</v>
      </c>
      <c r="D28" s="35">
        <f>1830000/1000</f>
        <v>1830</v>
      </c>
      <c r="E28" s="72">
        <v>0</v>
      </c>
      <c r="F28" s="72">
        <v>0</v>
      </c>
    </row>
    <row r="29" spans="1:6" s="56" customFormat="1" ht="28.5">
      <c r="A29" s="24" t="s">
        <v>456</v>
      </c>
      <c r="B29" s="176" t="s">
        <v>332</v>
      </c>
      <c r="C29" s="176" t="s">
        <v>16</v>
      </c>
      <c r="D29" s="61">
        <f>D30</f>
        <v>360844.1</v>
      </c>
      <c r="E29" s="72">
        <v>6956.6</v>
      </c>
      <c r="F29" s="72">
        <v>6021.5</v>
      </c>
    </row>
    <row r="30" spans="1:6" s="56" customFormat="1" ht="30">
      <c r="A30" s="14" t="s">
        <v>98</v>
      </c>
      <c r="B30" s="175" t="s">
        <v>331</v>
      </c>
      <c r="C30" s="175" t="s">
        <v>99</v>
      </c>
      <c r="D30" s="35">
        <f>360844100/1000</f>
        <v>360844.1</v>
      </c>
      <c r="E30" s="72">
        <v>0</v>
      </c>
      <c r="F30" s="72">
        <v>0</v>
      </c>
    </row>
    <row r="31" spans="1:6" s="63" customFormat="1" ht="14.25">
      <c r="A31" s="24" t="s">
        <v>457</v>
      </c>
      <c r="B31" s="176" t="s">
        <v>315</v>
      </c>
      <c r="C31" s="176" t="s">
        <v>16</v>
      </c>
      <c r="D31" s="61">
        <f>SUM(D32:D32)</f>
        <v>4675.54</v>
      </c>
      <c r="E31" s="73">
        <v>0</v>
      </c>
      <c r="F31" s="73">
        <v>0</v>
      </c>
    </row>
    <row r="32" spans="1:6" s="56" customFormat="1" ht="30">
      <c r="A32" s="75" t="s">
        <v>82</v>
      </c>
      <c r="B32" s="175" t="s">
        <v>316</v>
      </c>
      <c r="C32" s="175" t="s">
        <v>83</v>
      </c>
      <c r="D32" s="35">
        <f>4675540/1000</f>
        <v>4675.54</v>
      </c>
      <c r="E32" s="72">
        <v>100</v>
      </c>
      <c r="F32" s="72">
        <v>100</v>
      </c>
    </row>
    <row r="33" spans="1:6" s="63" customFormat="1" ht="14.25">
      <c r="A33" s="24" t="s">
        <v>458</v>
      </c>
      <c r="B33" s="176" t="s">
        <v>77</v>
      </c>
      <c r="C33" s="176" t="s">
        <v>16</v>
      </c>
      <c r="D33" s="61">
        <f>D34</f>
        <v>100</v>
      </c>
      <c r="E33" s="73">
        <v>1000</v>
      </c>
      <c r="F33" s="73">
        <v>1000</v>
      </c>
    </row>
    <row r="34" spans="1:6" s="56" customFormat="1" ht="30">
      <c r="A34" s="14" t="s">
        <v>82</v>
      </c>
      <c r="B34" s="175" t="s">
        <v>78</v>
      </c>
      <c r="C34" s="175" t="s">
        <v>83</v>
      </c>
      <c r="D34" s="35">
        <f>100000/1000</f>
        <v>100</v>
      </c>
      <c r="E34" s="72">
        <v>50</v>
      </c>
      <c r="F34" s="72">
        <v>50</v>
      </c>
    </row>
    <row r="35" spans="1:6" s="63" customFormat="1" ht="28.5">
      <c r="A35" s="76" t="s">
        <v>287</v>
      </c>
      <c r="B35" s="176" t="s">
        <v>286</v>
      </c>
      <c r="C35" s="176" t="s">
        <v>16</v>
      </c>
      <c r="D35" s="61">
        <f>D36</f>
        <v>1655.65</v>
      </c>
      <c r="E35" s="73">
        <v>50</v>
      </c>
      <c r="F35" s="73">
        <v>50</v>
      </c>
    </row>
    <row r="36" spans="1:6" s="56" customFormat="1" ht="30">
      <c r="A36" s="75" t="s">
        <v>82</v>
      </c>
      <c r="B36" s="175" t="s">
        <v>107</v>
      </c>
      <c r="C36" s="175" t="s">
        <v>83</v>
      </c>
      <c r="D36" s="35">
        <f>1655650/1000</f>
        <v>1655.65</v>
      </c>
      <c r="E36" s="72">
        <v>32</v>
      </c>
      <c r="F36" s="72">
        <v>32</v>
      </c>
    </row>
    <row r="37" spans="1:6" s="63" customFormat="1" ht="14.25">
      <c r="A37" s="24" t="s">
        <v>80</v>
      </c>
      <c r="B37" s="176" t="s">
        <v>34</v>
      </c>
      <c r="C37" s="176" t="s">
        <v>16</v>
      </c>
      <c r="D37" s="61">
        <f>SUM(D38:D58)</f>
        <v>122566.85750000001</v>
      </c>
      <c r="E37" s="73">
        <v>572866.5099204347</v>
      </c>
      <c r="F37" s="73">
        <v>215407.11612695653</v>
      </c>
    </row>
    <row r="38" spans="1:6" s="56" customFormat="1" ht="30">
      <c r="A38" s="14" t="s">
        <v>81</v>
      </c>
      <c r="B38" s="175" t="s">
        <v>35</v>
      </c>
      <c r="C38" s="175" t="s">
        <v>411</v>
      </c>
      <c r="D38" s="35">
        <f>(3857027.87+50474689.34)/1000</f>
        <v>54331.71721</v>
      </c>
      <c r="E38" s="72">
        <v>2764</v>
      </c>
      <c r="F38" s="72">
        <v>2764</v>
      </c>
    </row>
    <row r="39" spans="1:6" s="56" customFormat="1" ht="30">
      <c r="A39" s="14" t="s">
        <v>81</v>
      </c>
      <c r="B39" s="175" t="s">
        <v>109</v>
      </c>
      <c r="C39" s="175" t="s">
        <v>411</v>
      </c>
      <c r="D39" s="35">
        <f>13112200/1000</f>
        <v>13112.2</v>
      </c>
      <c r="E39" s="72"/>
      <c r="F39" s="72"/>
    </row>
    <row r="40" spans="1:6" s="56" customFormat="1" ht="30">
      <c r="A40" s="14" t="s">
        <v>81</v>
      </c>
      <c r="B40" s="175" t="s">
        <v>45</v>
      </c>
      <c r="C40" s="175" t="s">
        <v>411</v>
      </c>
      <c r="D40" s="35">
        <f>16877180/1000</f>
        <v>16877.18</v>
      </c>
      <c r="E40" s="72"/>
      <c r="F40" s="72"/>
    </row>
    <row r="41" spans="1:6" s="56" customFormat="1" ht="30">
      <c r="A41" s="14" t="s">
        <v>82</v>
      </c>
      <c r="B41" s="175" t="s">
        <v>35</v>
      </c>
      <c r="C41" s="175" t="s">
        <v>83</v>
      </c>
      <c r="D41" s="35">
        <f>(7787636.5+150000)/1000</f>
        <v>7937.6365</v>
      </c>
      <c r="E41" s="72">
        <v>2764</v>
      </c>
      <c r="F41" s="72">
        <v>2764</v>
      </c>
    </row>
    <row r="42" spans="1:6" s="56" customFormat="1" ht="30">
      <c r="A42" s="14" t="s">
        <v>82</v>
      </c>
      <c r="B42" s="175" t="s">
        <v>109</v>
      </c>
      <c r="C42" s="175" t="s">
        <v>83</v>
      </c>
      <c r="D42" s="35">
        <f>3020000/1000</f>
        <v>3020</v>
      </c>
      <c r="E42" s="72">
        <v>2764</v>
      </c>
      <c r="F42" s="72">
        <v>2764</v>
      </c>
    </row>
    <row r="43" spans="1:6" s="56" customFormat="1" ht="30">
      <c r="A43" s="14" t="s">
        <v>82</v>
      </c>
      <c r="B43" s="175" t="s">
        <v>69</v>
      </c>
      <c r="C43" s="175" t="s">
        <v>83</v>
      </c>
      <c r="D43" s="35">
        <f>440000/1000</f>
        <v>440</v>
      </c>
      <c r="E43" s="72"/>
      <c r="F43" s="72"/>
    </row>
    <row r="44" spans="1:6" s="56" customFormat="1" ht="30">
      <c r="A44" s="14" t="s">
        <v>82</v>
      </c>
      <c r="B44" s="77" t="s">
        <v>38</v>
      </c>
      <c r="C44" s="175" t="s">
        <v>83</v>
      </c>
      <c r="D44" s="35">
        <f>120000/1000</f>
        <v>120</v>
      </c>
      <c r="E44" s="72">
        <v>0.7</v>
      </c>
      <c r="F44" s="72">
        <v>0.7</v>
      </c>
    </row>
    <row r="45" spans="1:6" s="56" customFormat="1" ht="30">
      <c r="A45" s="14" t="s">
        <v>82</v>
      </c>
      <c r="B45" s="175" t="s">
        <v>42</v>
      </c>
      <c r="C45" s="175" t="s">
        <v>83</v>
      </c>
      <c r="D45" s="35">
        <f>(300000+220000)/1000</f>
        <v>520</v>
      </c>
      <c r="E45" s="72"/>
      <c r="F45" s="72"/>
    </row>
    <row r="46" spans="1:6" s="56" customFormat="1" ht="30">
      <c r="A46" s="14" t="s">
        <v>88</v>
      </c>
      <c r="B46" s="175" t="s">
        <v>39</v>
      </c>
      <c r="C46" s="175" t="s">
        <v>83</v>
      </c>
      <c r="D46" s="35">
        <f>(704000+2000000+1880000)/1000</f>
        <v>4584</v>
      </c>
      <c r="E46" s="72"/>
      <c r="F46" s="72"/>
    </row>
    <row r="47" spans="1:6" s="56" customFormat="1" ht="30">
      <c r="A47" s="14" t="s">
        <v>88</v>
      </c>
      <c r="B47" s="175" t="s">
        <v>46</v>
      </c>
      <c r="C47" s="175" t="s">
        <v>83</v>
      </c>
      <c r="D47" s="35">
        <f>200000/1000</f>
        <v>200</v>
      </c>
      <c r="E47" s="72"/>
      <c r="F47" s="72"/>
    </row>
    <row r="48" spans="1:6" s="56" customFormat="1" ht="30">
      <c r="A48" s="14" t="s">
        <v>88</v>
      </c>
      <c r="B48" s="175" t="s">
        <v>44</v>
      </c>
      <c r="C48" s="175" t="s">
        <v>83</v>
      </c>
      <c r="D48" s="35">
        <f>100000/1000</f>
        <v>100</v>
      </c>
      <c r="E48" s="72"/>
      <c r="F48" s="72"/>
    </row>
    <row r="49" spans="1:6" s="56" customFormat="1" ht="30">
      <c r="A49" s="14" t="s">
        <v>88</v>
      </c>
      <c r="B49" s="175" t="s">
        <v>45</v>
      </c>
      <c r="C49" s="175" t="s">
        <v>83</v>
      </c>
      <c r="D49" s="35">
        <f>2300000/1000</f>
        <v>2300</v>
      </c>
      <c r="E49" s="72"/>
      <c r="F49" s="72"/>
    </row>
    <row r="50" spans="1:6" s="56" customFormat="1" ht="30">
      <c r="A50" s="75" t="s">
        <v>82</v>
      </c>
      <c r="B50" s="17" t="s">
        <v>344</v>
      </c>
      <c r="C50" s="175" t="s">
        <v>83</v>
      </c>
      <c r="D50" s="35">
        <f>3430000/1000</f>
        <v>3430</v>
      </c>
      <c r="E50" s="72">
        <v>100</v>
      </c>
      <c r="F50" s="72">
        <v>100</v>
      </c>
    </row>
    <row r="51" spans="1:6" s="56" customFormat="1" ht="30">
      <c r="A51" s="75" t="s">
        <v>82</v>
      </c>
      <c r="B51" s="17" t="s">
        <v>43</v>
      </c>
      <c r="C51" s="175" t="s">
        <v>83</v>
      </c>
      <c r="D51" s="35">
        <f>10032656/1000</f>
        <v>10032.656</v>
      </c>
      <c r="E51" s="72">
        <v>100</v>
      </c>
      <c r="F51" s="72">
        <v>100</v>
      </c>
    </row>
    <row r="52" spans="1:6" s="56" customFormat="1" ht="15">
      <c r="A52" s="14" t="s">
        <v>92</v>
      </c>
      <c r="B52" s="175" t="s">
        <v>35</v>
      </c>
      <c r="C52" s="175" t="s">
        <v>65</v>
      </c>
      <c r="D52" s="35">
        <f>10000/1000</f>
        <v>10</v>
      </c>
      <c r="E52" s="72">
        <v>2764</v>
      </c>
      <c r="F52" s="72">
        <v>2764</v>
      </c>
    </row>
    <row r="53" spans="1:6" s="56" customFormat="1" ht="15">
      <c r="A53" s="14" t="s">
        <v>92</v>
      </c>
      <c r="B53" s="17" t="s">
        <v>61</v>
      </c>
      <c r="C53" s="175" t="s">
        <v>65</v>
      </c>
      <c r="D53" s="35">
        <f>731424/1000</f>
        <v>731.424</v>
      </c>
      <c r="E53" s="72"/>
      <c r="F53" s="72"/>
    </row>
    <row r="54" spans="1:6" s="56" customFormat="1" ht="15">
      <c r="A54" s="14" t="s">
        <v>97</v>
      </c>
      <c r="B54" s="175" t="s">
        <v>41</v>
      </c>
      <c r="C54" s="177">
        <v>500</v>
      </c>
      <c r="D54" s="35">
        <f>623801.17/1000</f>
        <v>623.8011700000001</v>
      </c>
      <c r="E54" s="72">
        <v>0</v>
      </c>
      <c r="F54" s="72">
        <v>0</v>
      </c>
    </row>
    <row r="55" spans="1:6" s="63" customFormat="1" ht="15">
      <c r="A55" s="14" t="s">
        <v>94</v>
      </c>
      <c r="B55" s="175" t="s">
        <v>95</v>
      </c>
      <c r="C55" s="175" t="s">
        <v>96</v>
      </c>
      <c r="D55" s="35">
        <f>146242.62/1000</f>
        <v>146.24262</v>
      </c>
      <c r="E55" s="72">
        <v>10</v>
      </c>
      <c r="F55" s="72">
        <v>10</v>
      </c>
    </row>
    <row r="56" spans="1:6" s="56" customFormat="1" ht="15">
      <c r="A56" s="14" t="s">
        <v>84</v>
      </c>
      <c r="B56" s="175" t="s">
        <v>35</v>
      </c>
      <c r="C56" s="175" t="s">
        <v>51</v>
      </c>
      <c r="D56" s="35">
        <f>3630000/1000</f>
        <v>3630</v>
      </c>
      <c r="E56" s="72">
        <v>65040.2824</v>
      </c>
      <c r="F56" s="72">
        <v>66336.10029999999</v>
      </c>
    </row>
    <row r="57" spans="1:6" s="56" customFormat="1" ht="15">
      <c r="A57" s="14" t="s">
        <v>84</v>
      </c>
      <c r="B57" s="17" t="s">
        <v>56</v>
      </c>
      <c r="C57" s="175" t="s">
        <v>51</v>
      </c>
      <c r="D57" s="35">
        <f>300000/1000</f>
        <v>300</v>
      </c>
      <c r="E57" s="72"/>
      <c r="F57" s="72"/>
    </row>
    <row r="58" spans="1:6" s="56" customFormat="1" ht="15">
      <c r="A58" s="14" t="s">
        <v>84</v>
      </c>
      <c r="B58" s="175" t="s">
        <v>45</v>
      </c>
      <c r="C58" s="175" t="s">
        <v>51</v>
      </c>
      <c r="D58" s="35">
        <f>120000/1000</f>
        <v>120</v>
      </c>
      <c r="E58" s="72"/>
      <c r="F58" s="72"/>
    </row>
  </sheetData>
  <sheetProtection/>
  <mergeCells count="8">
    <mergeCell ref="A8:D8"/>
    <mergeCell ref="A9:D10"/>
    <mergeCell ref="A2:D2"/>
    <mergeCell ref="A3:D3"/>
    <mergeCell ref="A4:D4"/>
    <mergeCell ref="A5:D5"/>
    <mergeCell ref="A6:D6"/>
    <mergeCell ref="A7:D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96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="60" zoomScalePageLayoutView="0" workbookViewId="0" topLeftCell="A46">
      <selection activeCell="F12" sqref="F12"/>
    </sheetView>
  </sheetViews>
  <sheetFormatPr defaultColWidth="9.00390625" defaultRowHeight="12.75"/>
  <cols>
    <col min="1" max="1" width="62.625" style="64" customWidth="1"/>
    <col min="2" max="2" width="16.375" style="60" customWidth="1"/>
    <col min="3" max="3" width="8.375" style="60" customWidth="1"/>
    <col min="4" max="4" width="13.875" style="47" customWidth="1"/>
    <col min="5" max="5" width="14.375" style="47" customWidth="1"/>
    <col min="6" max="16384" width="9.125" style="47" customWidth="1"/>
  </cols>
  <sheetData>
    <row r="1" spans="1:5" s="11" customFormat="1" ht="12.75">
      <c r="A1" s="16"/>
      <c r="C1" s="16"/>
      <c r="D1" s="16"/>
      <c r="E1" s="36" t="s">
        <v>327</v>
      </c>
    </row>
    <row r="2" spans="1:5" s="11" customFormat="1" ht="14.25" customHeight="1">
      <c r="A2" s="208" t="s">
        <v>300</v>
      </c>
      <c r="B2" s="208"/>
      <c r="C2" s="208"/>
      <c r="D2" s="208"/>
      <c r="E2" s="208"/>
    </row>
    <row r="3" spans="1:5" s="11" customFormat="1" ht="14.25" customHeight="1">
      <c r="A3" s="208" t="s">
        <v>340</v>
      </c>
      <c r="B3" s="208"/>
      <c r="C3" s="208"/>
      <c r="D3" s="208"/>
      <c r="E3" s="208"/>
    </row>
    <row r="4" spans="1:5" s="11" customFormat="1" ht="14.25" customHeight="1">
      <c r="A4" s="208" t="s">
        <v>341</v>
      </c>
      <c r="B4" s="208"/>
      <c r="C4" s="208"/>
      <c r="D4" s="208"/>
      <c r="E4" s="208"/>
    </row>
    <row r="5" spans="1:5" s="11" customFormat="1" ht="14.25" customHeight="1">
      <c r="A5" s="208" t="s">
        <v>342</v>
      </c>
      <c r="B5" s="208"/>
      <c r="C5" s="208"/>
      <c r="D5" s="208"/>
      <c r="E5" s="208"/>
    </row>
    <row r="6" spans="1:5" s="11" customFormat="1" ht="14.25" customHeight="1">
      <c r="A6" s="208" t="s">
        <v>337</v>
      </c>
      <c r="B6" s="208"/>
      <c r="C6" s="208"/>
      <c r="D6" s="208"/>
      <c r="E6" s="208"/>
    </row>
    <row r="7" spans="1:5" s="11" customFormat="1" ht="14.25" customHeight="1">
      <c r="A7" s="208" t="s">
        <v>488</v>
      </c>
      <c r="B7" s="208"/>
      <c r="C7" s="208"/>
      <c r="D7" s="208"/>
      <c r="E7" s="208"/>
    </row>
    <row r="8" spans="1:5" s="11" customFormat="1" ht="14.25" customHeight="1">
      <c r="A8" s="208" t="s">
        <v>490</v>
      </c>
      <c r="B8" s="208"/>
      <c r="C8" s="208"/>
      <c r="D8" s="208"/>
      <c r="E8" s="208"/>
    </row>
    <row r="9" spans="1:5" ht="62.25" customHeight="1">
      <c r="A9" s="180" t="s">
        <v>328</v>
      </c>
      <c r="B9" s="180"/>
      <c r="C9" s="180"/>
      <c r="D9" s="180"/>
      <c r="E9" s="180"/>
    </row>
    <row r="10" spans="1:2" ht="15">
      <c r="A10" s="58"/>
      <c r="B10" s="78"/>
    </row>
    <row r="11" spans="1:5" ht="15">
      <c r="A11" s="178" t="s">
        <v>5</v>
      </c>
      <c r="B11" s="178" t="s">
        <v>14</v>
      </c>
      <c r="C11" s="178" t="s">
        <v>15</v>
      </c>
      <c r="D11" s="43" t="s">
        <v>491</v>
      </c>
      <c r="E11" s="43" t="s">
        <v>492</v>
      </c>
    </row>
    <row r="12" spans="1:5" ht="24" customHeight="1">
      <c r="A12" s="178" t="s">
        <v>19</v>
      </c>
      <c r="B12" s="178"/>
      <c r="C12" s="178"/>
      <c r="D12" s="61">
        <f>D37+D13+D15+D17+D19+D21+D23+D25+D27+D29+D31+D33+D35</f>
        <v>235852.96000000002</v>
      </c>
      <c r="E12" s="61">
        <f>E37+E13+E15+E17+E19+E21+E23+E25+E27+E29+E31+E33+E35</f>
        <v>229733.74999</v>
      </c>
    </row>
    <row r="13" spans="1:5" s="56" customFormat="1" ht="37.5" customHeight="1">
      <c r="A13" s="24" t="s">
        <v>67</v>
      </c>
      <c r="B13" s="176" t="s">
        <v>85</v>
      </c>
      <c r="C13" s="176" t="s">
        <v>16</v>
      </c>
      <c r="D13" s="61">
        <f>D14</f>
        <v>120.8</v>
      </c>
      <c r="E13" s="61">
        <f>E14</f>
        <v>120.8</v>
      </c>
    </row>
    <row r="14" spans="1:5" s="56" customFormat="1" ht="39.75" customHeight="1">
      <c r="A14" s="14" t="s">
        <v>81</v>
      </c>
      <c r="B14" s="175" t="s">
        <v>73</v>
      </c>
      <c r="C14" s="175" t="s">
        <v>411</v>
      </c>
      <c r="D14" s="35">
        <f>120800/1000</f>
        <v>120.8</v>
      </c>
      <c r="E14" s="35">
        <f>120800/1000</f>
        <v>120.8</v>
      </c>
    </row>
    <row r="15" spans="1:5" s="56" customFormat="1" ht="93" customHeight="1">
      <c r="A15" s="93" t="s">
        <v>507</v>
      </c>
      <c r="B15" s="176" t="s">
        <v>85</v>
      </c>
      <c r="C15" s="176" t="s">
        <v>16</v>
      </c>
      <c r="D15" s="61">
        <f>D16</f>
        <v>0.7</v>
      </c>
      <c r="E15" s="61">
        <f>E16</f>
        <v>0.7</v>
      </c>
    </row>
    <row r="16" spans="1:5" s="56" customFormat="1" ht="34.5" customHeight="1">
      <c r="A16" s="14" t="s">
        <v>82</v>
      </c>
      <c r="B16" s="175" t="s">
        <v>63</v>
      </c>
      <c r="C16" s="175" t="s">
        <v>83</v>
      </c>
      <c r="D16" s="35">
        <f>700/1000</f>
        <v>0.7</v>
      </c>
      <c r="E16" s="35">
        <f>700/1000</f>
        <v>0.7</v>
      </c>
    </row>
    <row r="17" spans="1:5" s="56" customFormat="1" ht="21.75" customHeight="1">
      <c r="A17" s="24" t="s">
        <v>86</v>
      </c>
      <c r="B17" s="176" t="s">
        <v>36</v>
      </c>
      <c r="C17" s="176" t="s">
        <v>16</v>
      </c>
      <c r="D17" s="61">
        <f>D18</f>
        <v>3316.9</v>
      </c>
      <c r="E17" s="61">
        <f>E18</f>
        <v>0</v>
      </c>
    </row>
    <row r="18" spans="1:5" s="56" customFormat="1" ht="30">
      <c r="A18" s="14" t="s">
        <v>81</v>
      </c>
      <c r="B18" s="175" t="s">
        <v>37</v>
      </c>
      <c r="C18" s="175" t="s">
        <v>411</v>
      </c>
      <c r="D18" s="35">
        <f>3316900/1000</f>
        <v>3316.9</v>
      </c>
      <c r="E18" s="35"/>
    </row>
    <row r="19" spans="1:5" s="56" customFormat="1" ht="50.25" customHeight="1">
      <c r="A19" s="24" t="s">
        <v>329</v>
      </c>
      <c r="B19" s="43" t="s">
        <v>89</v>
      </c>
      <c r="C19" s="176" t="s">
        <v>16</v>
      </c>
      <c r="D19" s="61">
        <f>SUM(D20)</f>
        <v>400</v>
      </c>
      <c r="E19" s="61">
        <f>SUM(E20)</f>
        <v>400</v>
      </c>
    </row>
    <row r="20" spans="1:5" s="56" customFormat="1" ht="30">
      <c r="A20" s="14" t="s">
        <v>88</v>
      </c>
      <c r="B20" s="17" t="s">
        <v>90</v>
      </c>
      <c r="C20" s="175" t="s">
        <v>83</v>
      </c>
      <c r="D20" s="35">
        <f>400000/1000</f>
        <v>400</v>
      </c>
      <c r="E20" s="35">
        <f>400000/1000</f>
        <v>400</v>
      </c>
    </row>
    <row r="21" spans="1:5" s="56" customFormat="1" ht="50.25" customHeight="1">
      <c r="A21" s="24" t="s">
        <v>317</v>
      </c>
      <c r="B21" s="176" t="s">
        <v>106</v>
      </c>
      <c r="C21" s="176" t="s">
        <v>16</v>
      </c>
      <c r="D21" s="61">
        <f>SUM(D22:D22)</f>
        <v>9142</v>
      </c>
      <c r="E21" s="61">
        <f>SUM(E22:E22)</f>
        <v>0</v>
      </c>
    </row>
    <row r="22" spans="1:5" s="56" customFormat="1" ht="30">
      <c r="A22" s="14" t="s">
        <v>88</v>
      </c>
      <c r="B22" s="175" t="s">
        <v>75</v>
      </c>
      <c r="C22" s="175" t="s">
        <v>83</v>
      </c>
      <c r="D22" s="35">
        <f>9142000/1000</f>
        <v>9142</v>
      </c>
      <c r="E22" s="35"/>
    </row>
    <row r="23" spans="1:5" s="56" customFormat="1" ht="57">
      <c r="A23" s="93" t="s">
        <v>454</v>
      </c>
      <c r="B23" s="176" t="s">
        <v>106</v>
      </c>
      <c r="C23" s="176" t="s">
        <v>16</v>
      </c>
      <c r="D23" s="61">
        <f>D24</f>
        <v>86021.52</v>
      </c>
      <c r="E23" s="61">
        <f>E24</f>
        <v>86021.52</v>
      </c>
    </row>
    <row r="24" spans="1:5" s="56" customFormat="1" ht="30">
      <c r="A24" s="14" t="s">
        <v>88</v>
      </c>
      <c r="B24" s="175" t="s">
        <v>352</v>
      </c>
      <c r="C24" s="175" t="s">
        <v>83</v>
      </c>
      <c r="D24" s="35">
        <f>86021520/1000</f>
        <v>86021.52</v>
      </c>
      <c r="E24" s="35">
        <f>86021520/1000</f>
        <v>86021.52</v>
      </c>
    </row>
    <row r="25" spans="1:5" s="56" customFormat="1" ht="28.5">
      <c r="A25" s="93" t="s">
        <v>455</v>
      </c>
      <c r="B25" s="176" t="s">
        <v>91</v>
      </c>
      <c r="C25" s="176" t="s">
        <v>16</v>
      </c>
      <c r="D25" s="61">
        <f>D26</f>
        <v>16304.35</v>
      </c>
      <c r="E25" s="61">
        <f>E26</f>
        <v>16304.35</v>
      </c>
    </row>
    <row r="26" spans="1:5" s="56" customFormat="1" ht="30">
      <c r="A26" s="14" t="s">
        <v>88</v>
      </c>
      <c r="B26" s="175" t="s">
        <v>68</v>
      </c>
      <c r="C26" s="175" t="s">
        <v>83</v>
      </c>
      <c r="D26" s="35">
        <f>16304350/1000</f>
        <v>16304.35</v>
      </c>
      <c r="E26" s="35">
        <f>16304350/1000</f>
        <v>16304.35</v>
      </c>
    </row>
    <row r="27" spans="1:5" s="56" customFormat="1" ht="28.5">
      <c r="A27" s="93" t="s">
        <v>40</v>
      </c>
      <c r="B27" s="176" t="s">
        <v>66</v>
      </c>
      <c r="C27" s="176" t="s">
        <v>16</v>
      </c>
      <c r="D27" s="61">
        <f>SUM(D28:D28)</f>
        <v>2300</v>
      </c>
      <c r="E27" s="61">
        <f>SUM(E28:E28)</f>
        <v>0</v>
      </c>
    </row>
    <row r="28" spans="1:5" s="56" customFormat="1" ht="30">
      <c r="A28" s="14" t="s">
        <v>294</v>
      </c>
      <c r="B28" s="175" t="s">
        <v>343</v>
      </c>
      <c r="C28" s="175" t="s">
        <v>83</v>
      </c>
      <c r="D28" s="35">
        <f>2300000/1000</f>
        <v>2300</v>
      </c>
      <c r="E28" s="35"/>
    </row>
    <row r="29" spans="1:5" s="56" customFormat="1" ht="28.5">
      <c r="A29" s="24" t="s">
        <v>456</v>
      </c>
      <c r="B29" s="176" t="s">
        <v>332</v>
      </c>
      <c r="C29" s="176" t="s">
        <v>16</v>
      </c>
      <c r="D29" s="61">
        <f>D30</f>
        <v>0</v>
      </c>
      <c r="E29" s="61">
        <f>E30</f>
        <v>0</v>
      </c>
    </row>
    <row r="30" spans="1:5" s="56" customFormat="1" ht="30">
      <c r="A30" s="14" t="s">
        <v>98</v>
      </c>
      <c r="B30" s="175" t="s">
        <v>331</v>
      </c>
      <c r="C30" s="175" t="s">
        <v>99</v>
      </c>
      <c r="D30" s="35"/>
      <c r="E30" s="35"/>
    </row>
    <row r="31" spans="1:5" s="56" customFormat="1" ht="22.5" customHeight="1">
      <c r="A31" s="24" t="s">
        <v>457</v>
      </c>
      <c r="B31" s="176" t="s">
        <v>315</v>
      </c>
      <c r="C31" s="176" t="s">
        <v>16</v>
      </c>
      <c r="D31" s="61">
        <f>SUM(D32:D32)</f>
        <v>4650</v>
      </c>
      <c r="E31" s="61">
        <f>SUM(E32:E32)</f>
        <v>0</v>
      </c>
    </row>
    <row r="32" spans="1:5" s="56" customFormat="1" ht="35.25" customHeight="1">
      <c r="A32" s="75" t="s">
        <v>82</v>
      </c>
      <c r="B32" s="175" t="s">
        <v>316</v>
      </c>
      <c r="C32" s="175" t="s">
        <v>83</v>
      </c>
      <c r="D32" s="35">
        <f>4650000/1000</f>
        <v>4650</v>
      </c>
      <c r="E32" s="35"/>
    </row>
    <row r="33" spans="1:5" s="56" customFormat="1" ht="27" customHeight="1">
      <c r="A33" s="24" t="s">
        <v>458</v>
      </c>
      <c r="B33" s="176" t="s">
        <v>77</v>
      </c>
      <c r="C33" s="176" t="s">
        <v>16</v>
      </c>
      <c r="D33" s="61">
        <f>D34</f>
        <v>100</v>
      </c>
      <c r="E33" s="61">
        <f>E34</f>
        <v>0</v>
      </c>
    </row>
    <row r="34" spans="1:5" s="56" customFormat="1" ht="34.5" customHeight="1">
      <c r="A34" s="14" t="s">
        <v>82</v>
      </c>
      <c r="B34" s="175" t="s">
        <v>78</v>
      </c>
      <c r="C34" s="175" t="s">
        <v>83</v>
      </c>
      <c r="D34" s="35">
        <f>100000/1000</f>
        <v>100</v>
      </c>
      <c r="E34" s="35"/>
    </row>
    <row r="35" spans="1:5" s="56" customFormat="1" ht="33" customHeight="1">
      <c r="A35" s="76" t="s">
        <v>287</v>
      </c>
      <c r="B35" s="176" t="s">
        <v>286</v>
      </c>
      <c r="C35" s="176" t="s">
        <v>16</v>
      </c>
      <c r="D35" s="61">
        <f>D36</f>
        <v>1261.02</v>
      </c>
      <c r="E35" s="61">
        <f>E36</f>
        <v>0</v>
      </c>
    </row>
    <row r="36" spans="1:5" s="56" customFormat="1" ht="33.75" customHeight="1">
      <c r="A36" s="75" t="s">
        <v>82</v>
      </c>
      <c r="B36" s="175" t="s">
        <v>107</v>
      </c>
      <c r="C36" s="175" t="s">
        <v>83</v>
      </c>
      <c r="D36" s="35">
        <f>1261020/1000</f>
        <v>1261.02</v>
      </c>
      <c r="E36" s="35"/>
    </row>
    <row r="37" spans="1:5" s="56" customFormat="1" ht="28.5">
      <c r="A37" s="24" t="s">
        <v>80</v>
      </c>
      <c r="B37" s="176" t="s">
        <v>34</v>
      </c>
      <c r="C37" s="176" t="s">
        <v>16</v>
      </c>
      <c r="D37" s="61">
        <f>SUM(D38:D58)</f>
        <v>112235.67000000001</v>
      </c>
      <c r="E37" s="61">
        <f>SUM(E38:E58)</f>
        <v>126886.37999</v>
      </c>
    </row>
    <row r="38" spans="1:5" s="56" customFormat="1" ht="32.25" customHeight="1">
      <c r="A38" s="14" t="s">
        <v>81</v>
      </c>
      <c r="B38" s="175" t="s">
        <v>35</v>
      </c>
      <c r="C38" s="175" t="s">
        <v>411</v>
      </c>
      <c r="D38" s="35">
        <f>(3857027.87+50474689.34)/1000</f>
        <v>54331.71721</v>
      </c>
      <c r="E38" s="35">
        <f>(3857027.87+70374746.95)/1000</f>
        <v>74231.77482</v>
      </c>
    </row>
    <row r="39" spans="1:5" s="56" customFormat="1" ht="30">
      <c r="A39" s="14" t="s">
        <v>81</v>
      </c>
      <c r="B39" s="175" t="s">
        <v>109</v>
      </c>
      <c r="C39" s="175" t="s">
        <v>411</v>
      </c>
      <c r="D39" s="35">
        <f>13112200/1000</f>
        <v>13112.2</v>
      </c>
      <c r="E39" s="35">
        <f>13112200/1000</f>
        <v>13112.2</v>
      </c>
    </row>
    <row r="40" spans="1:5" s="56" customFormat="1" ht="30">
      <c r="A40" s="14" t="s">
        <v>81</v>
      </c>
      <c r="B40" s="175" t="s">
        <v>45</v>
      </c>
      <c r="C40" s="175" t="s">
        <v>411</v>
      </c>
      <c r="D40" s="35">
        <f>16877180/1000</f>
        <v>16877.18</v>
      </c>
      <c r="E40" s="35">
        <f>16877180/1000</f>
        <v>16877.18</v>
      </c>
    </row>
    <row r="41" spans="1:5" s="56" customFormat="1" ht="30">
      <c r="A41" s="14" t="s">
        <v>82</v>
      </c>
      <c r="B41" s="175" t="s">
        <v>35</v>
      </c>
      <c r="C41" s="175" t="s">
        <v>83</v>
      </c>
      <c r="D41" s="35">
        <f>(2565595.22+150000)/1000</f>
        <v>2715.59522</v>
      </c>
      <c r="E41" s="35">
        <f>(10000000+150000)/1000</f>
        <v>10150</v>
      </c>
    </row>
    <row r="42" spans="1:5" s="56" customFormat="1" ht="26.25" customHeight="1">
      <c r="A42" s="14" t="s">
        <v>82</v>
      </c>
      <c r="B42" s="175" t="s">
        <v>109</v>
      </c>
      <c r="C42" s="175" t="s">
        <v>83</v>
      </c>
      <c r="D42" s="35">
        <f>3020000/1000</f>
        <v>3020</v>
      </c>
      <c r="E42" s="35">
        <f>3020000/1000</f>
        <v>3020</v>
      </c>
    </row>
    <row r="43" spans="1:5" s="56" customFormat="1" ht="30">
      <c r="A43" s="14" t="s">
        <v>82</v>
      </c>
      <c r="B43" s="175" t="s">
        <v>69</v>
      </c>
      <c r="C43" s="175" t="s">
        <v>83</v>
      </c>
      <c r="D43" s="35">
        <f>440000/1000</f>
        <v>440</v>
      </c>
      <c r="E43" s="35">
        <f>440000/1000</f>
        <v>440</v>
      </c>
    </row>
    <row r="44" spans="1:5" s="56" customFormat="1" ht="30">
      <c r="A44" s="14" t="s">
        <v>82</v>
      </c>
      <c r="B44" s="77" t="s">
        <v>38</v>
      </c>
      <c r="C44" s="175" t="s">
        <v>83</v>
      </c>
      <c r="D44" s="35">
        <f>120000/1000</f>
        <v>120</v>
      </c>
      <c r="E44" s="35">
        <f>120000/1000</f>
        <v>120</v>
      </c>
    </row>
    <row r="45" spans="1:5" s="56" customFormat="1" ht="30">
      <c r="A45" s="14" t="s">
        <v>82</v>
      </c>
      <c r="B45" s="175" t="s">
        <v>42</v>
      </c>
      <c r="C45" s="175" t="s">
        <v>83</v>
      </c>
      <c r="D45" s="35">
        <f>(300000+220000)/1000</f>
        <v>520</v>
      </c>
      <c r="E45" s="35">
        <f>(300000+220000)/1000</f>
        <v>520</v>
      </c>
    </row>
    <row r="46" spans="1:5" s="56" customFormat="1" ht="30">
      <c r="A46" s="14" t="s">
        <v>88</v>
      </c>
      <c r="B46" s="175" t="s">
        <v>39</v>
      </c>
      <c r="C46" s="175" t="s">
        <v>83</v>
      </c>
      <c r="D46" s="35">
        <f>(500000+200000+2280000)/1000</f>
        <v>2980</v>
      </c>
      <c r="E46" s="35">
        <f>(200000+1280000)/1000</f>
        <v>1480</v>
      </c>
    </row>
    <row r="47" spans="1:8" s="63" customFormat="1" ht="26.25" customHeight="1">
      <c r="A47" s="14" t="s">
        <v>88</v>
      </c>
      <c r="B47" s="175" t="s">
        <v>46</v>
      </c>
      <c r="C47" s="175" t="s">
        <v>83</v>
      </c>
      <c r="D47" s="35">
        <f>200000/1000</f>
        <v>200</v>
      </c>
      <c r="E47" s="35">
        <f>200000/1000</f>
        <v>200</v>
      </c>
      <c r="F47" s="56"/>
      <c r="G47" s="56"/>
      <c r="H47" s="56"/>
    </row>
    <row r="48" spans="1:8" s="56" customFormat="1" ht="30">
      <c r="A48" s="14" t="s">
        <v>88</v>
      </c>
      <c r="B48" s="175" t="s">
        <v>44</v>
      </c>
      <c r="C48" s="175" t="s">
        <v>83</v>
      </c>
      <c r="D48" s="35">
        <f>100000/1000</f>
        <v>100</v>
      </c>
      <c r="E48" s="35">
        <f>100000/1000</f>
        <v>100</v>
      </c>
      <c r="F48" s="63"/>
      <c r="G48" s="63"/>
      <c r="H48" s="63"/>
    </row>
    <row r="49" spans="1:5" s="56" customFormat="1" ht="30">
      <c r="A49" s="14" t="s">
        <v>88</v>
      </c>
      <c r="B49" s="175" t="s">
        <v>45</v>
      </c>
      <c r="C49" s="175" t="s">
        <v>83</v>
      </c>
      <c r="D49" s="35">
        <f>2300000/1000</f>
        <v>2300</v>
      </c>
      <c r="E49" s="35">
        <f>2300000/1000</f>
        <v>2300</v>
      </c>
    </row>
    <row r="50" spans="1:5" s="56" customFormat="1" ht="30">
      <c r="A50" s="75" t="s">
        <v>82</v>
      </c>
      <c r="B50" s="17" t="s">
        <v>344</v>
      </c>
      <c r="C50" s="175" t="s">
        <v>83</v>
      </c>
      <c r="D50" s="35">
        <f>3629000/1000</f>
        <v>3629</v>
      </c>
      <c r="E50" s="35"/>
    </row>
    <row r="51" spans="1:5" s="56" customFormat="1" ht="30">
      <c r="A51" s="75" t="s">
        <v>82</v>
      </c>
      <c r="B51" s="17" t="s">
        <v>43</v>
      </c>
      <c r="C51" s="175" t="s">
        <v>83</v>
      </c>
      <c r="D51" s="35">
        <f>10052826/1000</f>
        <v>10052.826</v>
      </c>
      <c r="E51" s="35">
        <f>2500000/1000</f>
        <v>2500</v>
      </c>
    </row>
    <row r="52" spans="1:5" s="56" customFormat="1" ht="15">
      <c r="A52" s="14" t="s">
        <v>92</v>
      </c>
      <c r="B52" s="175" t="s">
        <v>35</v>
      </c>
      <c r="C52" s="175" t="s">
        <v>65</v>
      </c>
      <c r="D52" s="35">
        <f>10000/1000</f>
        <v>10</v>
      </c>
      <c r="E52" s="35">
        <f>10000/1000</f>
        <v>10</v>
      </c>
    </row>
    <row r="53" spans="1:5" s="56" customFormat="1" ht="15">
      <c r="A53" s="14" t="s">
        <v>92</v>
      </c>
      <c r="B53" s="17" t="s">
        <v>61</v>
      </c>
      <c r="C53" s="175" t="s">
        <v>65</v>
      </c>
      <c r="D53" s="35">
        <f>731424/1000</f>
        <v>731.424</v>
      </c>
      <c r="E53" s="35">
        <f>731424/1000</f>
        <v>731.424</v>
      </c>
    </row>
    <row r="54" spans="1:8" s="63" customFormat="1" ht="20.25" customHeight="1">
      <c r="A54" s="14" t="s">
        <v>97</v>
      </c>
      <c r="B54" s="175" t="s">
        <v>41</v>
      </c>
      <c r="C54" s="177">
        <v>500</v>
      </c>
      <c r="D54" s="35">
        <f>623801.17/1000</f>
        <v>623.8011700000001</v>
      </c>
      <c r="E54" s="35">
        <f>623801.17/1000</f>
        <v>623.8011700000001</v>
      </c>
      <c r="F54" s="56"/>
      <c r="G54" s="56"/>
      <c r="H54" s="56"/>
    </row>
    <row r="55" spans="1:8" s="56" customFormat="1" ht="20.25" customHeight="1">
      <c r="A55" s="14" t="s">
        <v>94</v>
      </c>
      <c r="B55" s="175" t="s">
        <v>95</v>
      </c>
      <c r="C55" s="175" t="s">
        <v>96</v>
      </c>
      <c r="D55" s="35">
        <f>1926.4/1000</f>
        <v>1.9264000000000001</v>
      </c>
      <c r="E55" s="35"/>
      <c r="F55" s="63"/>
      <c r="G55" s="63"/>
      <c r="H55" s="63"/>
    </row>
    <row r="56" spans="1:5" s="56" customFormat="1" ht="20.25" customHeight="1">
      <c r="A56" s="14" t="s">
        <v>84</v>
      </c>
      <c r="B56" s="175" t="s">
        <v>35</v>
      </c>
      <c r="C56" s="175" t="s">
        <v>51</v>
      </c>
      <c r="D56" s="35">
        <f>50000/1000</f>
        <v>50</v>
      </c>
      <c r="E56" s="35">
        <f>50000/1000</f>
        <v>50</v>
      </c>
    </row>
    <row r="57" spans="1:5" s="56" customFormat="1" ht="20.25" customHeight="1">
      <c r="A57" s="14" t="s">
        <v>84</v>
      </c>
      <c r="B57" s="17" t="s">
        <v>56</v>
      </c>
      <c r="C57" s="175" t="s">
        <v>51</v>
      </c>
      <c r="D57" s="35">
        <f>300000/1000</f>
        <v>300</v>
      </c>
      <c r="E57" s="35">
        <f>300000/1000</f>
        <v>300</v>
      </c>
    </row>
    <row r="58" spans="1:5" s="56" customFormat="1" ht="20.25" customHeight="1">
      <c r="A58" s="14" t="s">
        <v>84</v>
      </c>
      <c r="B58" s="175" t="s">
        <v>45</v>
      </c>
      <c r="C58" s="175" t="s">
        <v>51</v>
      </c>
      <c r="D58" s="35">
        <f>120000/1000</f>
        <v>120</v>
      </c>
      <c r="E58" s="35">
        <f>120000/1000</f>
        <v>120</v>
      </c>
    </row>
  </sheetData>
  <sheetProtection/>
  <mergeCells count="8">
    <mergeCell ref="A8:E8"/>
    <mergeCell ref="A9:E9"/>
    <mergeCell ref="A2:E2"/>
    <mergeCell ref="A3:E3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view="pageBreakPreview" zoomScaleSheetLayoutView="100" zoomScalePageLayoutView="0" workbookViewId="0" topLeftCell="A157">
      <selection activeCell="G5" sqref="G5"/>
    </sheetView>
  </sheetViews>
  <sheetFormatPr defaultColWidth="9.00390625" defaultRowHeight="12.75"/>
  <cols>
    <col min="1" max="1" width="50.375" style="70" customWidth="1"/>
    <col min="2" max="2" width="7.75390625" style="60" customWidth="1"/>
    <col min="3" max="3" width="6.00390625" style="60" customWidth="1"/>
    <col min="4" max="4" width="5.125" style="60" customWidth="1"/>
    <col min="5" max="5" width="13.875" style="60" customWidth="1"/>
    <col min="6" max="6" width="6.00390625" style="60" customWidth="1"/>
    <col min="7" max="7" width="13.625" style="56" customWidth="1"/>
    <col min="8" max="8" width="14.875" style="47" hidden="1" customWidth="1"/>
    <col min="9" max="9" width="13.625" style="47" hidden="1" customWidth="1"/>
    <col min="10" max="10" width="9.875" style="47" bestFit="1" customWidth="1"/>
    <col min="11" max="16384" width="9.125" style="47" customWidth="1"/>
  </cols>
  <sheetData>
    <row r="1" spans="1:7" s="11" customFormat="1" ht="117.75" customHeight="1">
      <c r="A1" s="13"/>
      <c r="B1" s="31"/>
      <c r="C1" s="31"/>
      <c r="D1" s="179" t="s">
        <v>493</v>
      </c>
      <c r="E1" s="179"/>
      <c r="F1" s="179"/>
      <c r="G1" s="179"/>
    </row>
    <row r="2" spans="1:7" ht="42" customHeight="1">
      <c r="A2" s="180" t="s">
        <v>494</v>
      </c>
      <c r="B2" s="180"/>
      <c r="C2" s="180"/>
      <c r="D2" s="180"/>
      <c r="E2" s="180"/>
      <c r="F2" s="180"/>
      <c r="G2" s="180"/>
    </row>
    <row r="3" spans="1:5" ht="21" customHeight="1">
      <c r="A3" s="80"/>
      <c r="B3" s="59"/>
      <c r="C3" s="59"/>
      <c r="E3" s="59"/>
    </row>
    <row r="4" spans="1:9" ht="33" customHeight="1">
      <c r="A4" s="42"/>
      <c r="B4" s="42"/>
      <c r="C4" s="42" t="s">
        <v>2</v>
      </c>
      <c r="D4" s="42" t="s">
        <v>4</v>
      </c>
      <c r="E4" s="42" t="s">
        <v>14</v>
      </c>
      <c r="F4" s="42" t="s">
        <v>15</v>
      </c>
      <c r="G4" s="43" t="s">
        <v>468</v>
      </c>
      <c r="H4" s="43" t="s">
        <v>289</v>
      </c>
      <c r="I4" s="43" t="s">
        <v>290</v>
      </c>
    </row>
    <row r="5" spans="1:12" s="50" customFormat="1" ht="24" customHeight="1">
      <c r="A5" s="42" t="s">
        <v>19</v>
      </c>
      <c r="B5" s="42">
        <v>717</v>
      </c>
      <c r="C5" s="42"/>
      <c r="D5" s="42"/>
      <c r="E5" s="42"/>
      <c r="F5" s="42"/>
      <c r="G5" s="61">
        <f>G6+G44+G50+G59+G86++G137+G146+G164+G173+G180</f>
        <v>616033.1075</v>
      </c>
      <c r="H5" s="61">
        <v>588763.6849204348</v>
      </c>
      <c r="I5" s="61">
        <v>235531.79112695652</v>
      </c>
      <c r="J5" s="81"/>
      <c r="K5" s="49"/>
      <c r="L5" s="49"/>
    </row>
    <row r="6" spans="1:9" s="83" customFormat="1" ht="27" customHeight="1">
      <c r="A6" s="90" t="s">
        <v>0</v>
      </c>
      <c r="B6" s="91">
        <v>717</v>
      </c>
      <c r="C6" s="91" t="s">
        <v>6</v>
      </c>
      <c r="D6" s="91" t="s">
        <v>3</v>
      </c>
      <c r="E6" s="92" t="s">
        <v>410</v>
      </c>
      <c r="F6" s="92" t="s">
        <v>16</v>
      </c>
      <c r="G6" s="82">
        <f>G7+G12+G28+G33+G37+G40</f>
        <v>66480.85371000001</v>
      </c>
      <c r="H6" s="82">
        <v>2764</v>
      </c>
      <c r="I6" s="82">
        <v>2764</v>
      </c>
    </row>
    <row r="7" spans="1:9" s="63" customFormat="1" ht="29.25" customHeight="1">
      <c r="A7" s="93" t="s">
        <v>363</v>
      </c>
      <c r="B7" s="94" t="s">
        <v>409</v>
      </c>
      <c r="C7" s="94" t="s">
        <v>6</v>
      </c>
      <c r="D7" s="94" t="s">
        <v>8</v>
      </c>
      <c r="E7" s="95" t="s">
        <v>413</v>
      </c>
      <c r="F7" s="95" t="s">
        <v>16</v>
      </c>
      <c r="G7" s="61">
        <f>G8</f>
        <v>3857.02787</v>
      </c>
      <c r="H7" s="61">
        <v>2764</v>
      </c>
      <c r="I7" s="61">
        <v>2764</v>
      </c>
    </row>
    <row r="8" spans="1:9" s="56" customFormat="1" ht="75">
      <c r="A8" s="96" t="s">
        <v>364</v>
      </c>
      <c r="B8" s="97" t="s">
        <v>409</v>
      </c>
      <c r="C8" s="97" t="s">
        <v>6</v>
      </c>
      <c r="D8" s="97" t="s">
        <v>8</v>
      </c>
      <c r="E8" s="98" t="s">
        <v>413</v>
      </c>
      <c r="F8" s="98" t="s">
        <v>411</v>
      </c>
      <c r="G8" s="35">
        <f>G9</f>
        <v>3857.02787</v>
      </c>
      <c r="H8" s="35">
        <v>2764</v>
      </c>
      <c r="I8" s="35">
        <v>2764</v>
      </c>
    </row>
    <row r="9" spans="1:9" s="56" customFormat="1" ht="30">
      <c r="A9" s="96" t="s">
        <v>365</v>
      </c>
      <c r="B9" s="97" t="s">
        <v>409</v>
      </c>
      <c r="C9" s="97" t="s">
        <v>6</v>
      </c>
      <c r="D9" s="97" t="s">
        <v>8</v>
      </c>
      <c r="E9" s="98" t="s">
        <v>413</v>
      </c>
      <c r="F9" s="98" t="s">
        <v>50</v>
      </c>
      <c r="G9" s="35">
        <f>SUM(G10:G11)</f>
        <v>3857.02787</v>
      </c>
      <c r="H9" s="35">
        <v>2764</v>
      </c>
      <c r="I9" s="35">
        <v>2764</v>
      </c>
    </row>
    <row r="10" spans="1:9" s="56" customFormat="1" ht="30">
      <c r="A10" s="99" t="s">
        <v>366</v>
      </c>
      <c r="B10" s="100" t="s">
        <v>409</v>
      </c>
      <c r="C10" s="100" t="s">
        <v>6</v>
      </c>
      <c r="D10" s="100" t="s">
        <v>8</v>
      </c>
      <c r="E10" s="101" t="s">
        <v>413</v>
      </c>
      <c r="F10" s="101" t="s">
        <v>26</v>
      </c>
      <c r="G10" s="84">
        <f>2962387/1000</f>
        <v>2962.387</v>
      </c>
      <c r="H10" s="35">
        <v>2164</v>
      </c>
      <c r="I10" s="35">
        <v>2164</v>
      </c>
    </row>
    <row r="11" spans="1:9" s="56" customFormat="1" ht="60">
      <c r="A11" s="99" t="s">
        <v>367</v>
      </c>
      <c r="B11" s="100" t="s">
        <v>409</v>
      </c>
      <c r="C11" s="100" t="s">
        <v>6</v>
      </c>
      <c r="D11" s="100" t="s">
        <v>8</v>
      </c>
      <c r="E11" s="101" t="s">
        <v>413</v>
      </c>
      <c r="F11" s="101" t="s">
        <v>48</v>
      </c>
      <c r="G11" s="35">
        <f>894640.87/1000</f>
        <v>894.64087</v>
      </c>
      <c r="H11" s="35">
        <v>600</v>
      </c>
      <c r="I11" s="35">
        <v>600</v>
      </c>
    </row>
    <row r="12" spans="1:9" s="63" customFormat="1" ht="54" customHeight="1">
      <c r="A12" s="74" t="s">
        <v>363</v>
      </c>
      <c r="B12" s="102" t="s">
        <v>409</v>
      </c>
      <c r="C12" s="102" t="s">
        <v>6</v>
      </c>
      <c r="D12" s="102" t="s">
        <v>7</v>
      </c>
      <c r="E12" s="103" t="s">
        <v>413</v>
      </c>
      <c r="F12" s="103" t="s">
        <v>16</v>
      </c>
      <c r="G12" s="61">
        <f>G13+G17+G21+G24</f>
        <v>61902.325840000005</v>
      </c>
      <c r="H12" s="61">
        <v>66030.0824</v>
      </c>
      <c r="I12" s="61">
        <v>67325.9003</v>
      </c>
    </row>
    <row r="13" spans="1:9" s="56" customFormat="1" ht="75">
      <c r="A13" s="99" t="s">
        <v>364</v>
      </c>
      <c r="B13" s="100" t="s">
        <v>409</v>
      </c>
      <c r="C13" s="100" t="s">
        <v>6</v>
      </c>
      <c r="D13" s="100" t="s">
        <v>7</v>
      </c>
      <c r="E13" s="101" t="s">
        <v>413</v>
      </c>
      <c r="F13" s="101" t="s">
        <v>411</v>
      </c>
      <c r="G13" s="35">
        <f>G14</f>
        <v>50474.689340000004</v>
      </c>
      <c r="H13" s="35">
        <v>66030.0824</v>
      </c>
      <c r="I13" s="35">
        <v>67325.9003</v>
      </c>
    </row>
    <row r="14" spans="1:9" s="56" customFormat="1" ht="27" customHeight="1">
      <c r="A14" s="99" t="s">
        <v>365</v>
      </c>
      <c r="B14" s="100" t="s">
        <v>409</v>
      </c>
      <c r="C14" s="100" t="s">
        <v>6</v>
      </c>
      <c r="D14" s="100" t="s">
        <v>7</v>
      </c>
      <c r="E14" s="101" t="s">
        <v>413</v>
      </c>
      <c r="F14" s="101" t="s">
        <v>50</v>
      </c>
      <c r="G14" s="35">
        <f>SUM(G15:G16)</f>
        <v>50474.689340000004</v>
      </c>
      <c r="H14" s="35">
        <v>66030.0824</v>
      </c>
      <c r="I14" s="35">
        <v>67325.9003</v>
      </c>
    </row>
    <row r="15" spans="1:9" s="56" customFormat="1" ht="30">
      <c r="A15" s="99" t="s">
        <v>366</v>
      </c>
      <c r="B15" s="100" t="s">
        <v>409</v>
      </c>
      <c r="C15" s="100" t="s">
        <v>6</v>
      </c>
      <c r="D15" s="100" t="s">
        <v>7</v>
      </c>
      <c r="E15" s="101" t="s">
        <v>413</v>
      </c>
      <c r="F15" s="101" t="s">
        <v>26</v>
      </c>
      <c r="G15" s="35">
        <f>38767042.5/1000</f>
        <v>38767.0425</v>
      </c>
      <c r="H15" s="35">
        <v>65890.2824</v>
      </c>
      <c r="I15" s="35">
        <v>67186.10029999999</v>
      </c>
    </row>
    <row r="16" spans="1:9" s="56" customFormat="1" ht="60">
      <c r="A16" s="99" t="s">
        <v>367</v>
      </c>
      <c r="B16" s="100" t="s">
        <v>409</v>
      </c>
      <c r="C16" s="100" t="s">
        <v>6</v>
      </c>
      <c r="D16" s="100" t="s">
        <v>7</v>
      </c>
      <c r="E16" s="101" t="s">
        <v>413</v>
      </c>
      <c r="F16" s="101" t="s">
        <v>48</v>
      </c>
      <c r="G16" s="35">
        <f>11707646.84/1000</f>
        <v>11707.64684</v>
      </c>
      <c r="H16" s="35">
        <v>65040.2824</v>
      </c>
      <c r="I16" s="35">
        <v>66336.10029999999</v>
      </c>
    </row>
    <row r="17" spans="1:9" s="56" customFormat="1" ht="30">
      <c r="A17" s="99" t="s">
        <v>368</v>
      </c>
      <c r="B17" s="100" t="s">
        <v>409</v>
      </c>
      <c r="C17" s="100" t="s">
        <v>6</v>
      </c>
      <c r="D17" s="100" t="s">
        <v>7</v>
      </c>
      <c r="E17" s="101" t="s">
        <v>413</v>
      </c>
      <c r="F17" s="101" t="s">
        <v>83</v>
      </c>
      <c r="G17" s="35">
        <f>G18</f>
        <v>7787.6365</v>
      </c>
      <c r="H17" s="35">
        <v>62390.2824</v>
      </c>
      <c r="I17" s="35">
        <v>63686.1003</v>
      </c>
    </row>
    <row r="18" spans="1:9" s="56" customFormat="1" ht="45">
      <c r="A18" s="99" t="s">
        <v>369</v>
      </c>
      <c r="B18" s="100" t="s">
        <v>409</v>
      </c>
      <c r="C18" s="100" t="s">
        <v>6</v>
      </c>
      <c r="D18" s="100" t="s">
        <v>7</v>
      </c>
      <c r="E18" s="101" t="s">
        <v>413</v>
      </c>
      <c r="F18" s="101" t="s">
        <v>32</v>
      </c>
      <c r="G18" s="35">
        <f>SUM(G19:G20)</f>
        <v>7787.6365</v>
      </c>
      <c r="H18" s="35">
        <v>48364.56</v>
      </c>
      <c r="I18" s="35">
        <v>49369.07</v>
      </c>
    </row>
    <row r="19" spans="1:9" s="56" customFormat="1" ht="15">
      <c r="A19" s="99" t="s">
        <v>370</v>
      </c>
      <c r="B19" s="100" t="s">
        <v>409</v>
      </c>
      <c r="C19" s="100" t="s">
        <v>6</v>
      </c>
      <c r="D19" s="100" t="s">
        <v>7</v>
      </c>
      <c r="E19" s="101" t="s">
        <v>413</v>
      </c>
      <c r="F19" s="101" t="s">
        <v>27</v>
      </c>
      <c r="G19" s="35">
        <f>5287636.5/1000</f>
        <v>5287.6365</v>
      </c>
      <c r="H19" s="35">
        <v>14025.722399999999</v>
      </c>
      <c r="I19" s="35">
        <v>14317.0303</v>
      </c>
    </row>
    <row r="20" spans="1:9" s="56" customFormat="1" ht="15">
      <c r="A20" s="99" t="s">
        <v>371</v>
      </c>
      <c r="B20" s="100" t="s">
        <v>409</v>
      </c>
      <c r="C20" s="100" t="s">
        <v>6</v>
      </c>
      <c r="D20" s="100" t="s">
        <v>7</v>
      </c>
      <c r="E20" s="101" t="s">
        <v>413</v>
      </c>
      <c r="F20" s="101" t="s">
        <v>87</v>
      </c>
      <c r="G20" s="35">
        <f>2500000/1000</f>
        <v>2500</v>
      </c>
      <c r="H20" s="35">
        <v>2650</v>
      </c>
      <c r="I20" s="35">
        <v>2650</v>
      </c>
    </row>
    <row r="21" spans="1:9" s="56" customFormat="1" ht="15">
      <c r="A21" s="99" t="s">
        <v>459</v>
      </c>
      <c r="B21" s="100" t="s">
        <v>409</v>
      </c>
      <c r="C21" s="100" t="s">
        <v>6</v>
      </c>
      <c r="D21" s="100" t="s">
        <v>7</v>
      </c>
      <c r="E21" s="101" t="s">
        <v>413</v>
      </c>
      <c r="F21" s="101" t="s">
        <v>65</v>
      </c>
      <c r="G21" s="35">
        <f>G22</f>
        <v>10</v>
      </c>
      <c r="H21" s="35">
        <v>2650</v>
      </c>
      <c r="I21" s="35">
        <v>2650</v>
      </c>
    </row>
    <row r="22" spans="1:9" s="56" customFormat="1" ht="30">
      <c r="A22" s="99" t="s">
        <v>460</v>
      </c>
      <c r="B22" s="100" t="s">
        <v>409</v>
      </c>
      <c r="C22" s="100" t="s">
        <v>6</v>
      </c>
      <c r="D22" s="100" t="s">
        <v>7</v>
      </c>
      <c r="E22" s="101" t="s">
        <v>413</v>
      </c>
      <c r="F22" s="101" t="s">
        <v>440</v>
      </c>
      <c r="G22" s="35">
        <f>G23</f>
        <v>10</v>
      </c>
      <c r="H22" s="35">
        <v>2000</v>
      </c>
      <c r="I22" s="35">
        <v>2000</v>
      </c>
    </row>
    <row r="23" spans="1:9" s="56" customFormat="1" ht="45">
      <c r="A23" s="99" t="s">
        <v>461</v>
      </c>
      <c r="B23" s="100" t="s">
        <v>409</v>
      </c>
      <c r="C23" s="100" t="s">
        <v>6</v>
      </c>
      <c r="D23" s="100" t="s">
        <v>7</v>
      </c>
      <c r="E23" s="101" t="s">
        <v>413</v>
      </c>
      <c r="F23" s="101" t="s">
        <v>441</v>
      </c>
      <c r="G23" s="35">
        <f>10000/1000</f>
        <v>10</v>
      </c>
      <c r="H23" s="35">
        <v>650</v>
      </c>
      <c r="I23" s="35">
        <v>650</v>
      </c>
    </row>
    <row r="24" spans="1:9" s="56" customFormat="1" ht="15">
      <c r="A24" s="99" t="s">
        <v>372</v>
      </c>
      <c r="B24" s="100" t="s">
        <v>409</v>
      </c>
      <c r="C24" s="100" t="s">
        <v>6</v>
      </c>
      <c r="D24" s="100" t="s">
        <v>7</v>
      </c>
      <c r="E24" s="101" t="s">
        <v>413</v>
      </c>
      <c r="F24" s="101" t="s">
        <v>51</v>
      </c>
      <c r="G24" s="35">
        <f>G25</f>
        <v>3630</v>
      </c>
      <c r="H24" s="35">
        <v>850</v>
      </c>
      <c r="I24" s="35">
        <v>850</v>
      </c>
    </row>
    <row r="25" spans="1:9" s="56" customFormat="1" ht="15">
      <c r="A25" s="99" t="s">
        <v>373</v>
      </c>
      <c r="B25" s="100" t="s">
        <v>409</v>
      </c>
      <c r="C25" s="100" t="s">
        <v>6</v>
      </c>
      <c r="D25" s="100" t="s">
        <v>7</v>
      </c>
      <c r="E25" s="101" t="s">
        <v>413</v>
      </c>
      <c r="F25" s="101" t="s">
        <v>55</v>
      </c>
      <c r="G25" s="35">
        <f>SUM(G26:G27)</f>
        <v>3630</v>
      </c>
      <c r="H25" s="35">
        <v>300</v>
      </c>
      <c r="I25" s="35">
        <v>300</v>
      </c>
    </row>
    <row r="26" spans="1:9" s="56" customFormat="1" ht="15">
      <c r="A26" s="99" t="s">
        <v>374</v>
      </c>
      <c r="B26" s="100" t="s">
        <v>409</v>
      </c>
      <c r="C26" s="100" t="s">
        <v>6</v>
      </c>
      <c r="D26" s="100" t="s">
        <v>7</v>
      </c>
      <c r="E26" s="101" t="s">
        <v>413</v>
      </c>
      <c r="F26" s="101" t="s">
        <v>49</v>
      </c>
      <c r="G26" s="35">
        <f>50000/1000</f>
        <v>50</v>
      </c>
      <c r="H26" s="35">
        <v>139.8</v>
      </c>
      <c r="I26" s="35">
        <v>139.8</v>
      </c>
    </row>
    <row r="27" spans="1:9" s="56" customFormat="1" ht="15">
      <c r="A27" s="99" t="s">
        <v>375</v>
      </c>
      <c r="B27" s="100" t="s">
        <v>409</v>
      </c>
      <c r="C27" s="100" t="s">
        <v>6</v>
      </c>
      <c r="D27" s="100" t="s">
        <v>7</v>
      </c>
      <c r="E27" s="101" t="s">
        <v>413</v>
      </c>
      <c r="F27" s="101" t="s">
        <v>52</v>
      </c>
      <c r="G27" s="35">
        <f>3580000/1000</f>
        <v>3580</v>
      </c>
      <c r="H27" s="35">
        <v>139.8</v>
      </c>
      <c r="I27" s="35">
        <v>139.8</v>
      </c>
    </row>
    <row r="28" spans="1:9" s="63" customFormat="1" ht="42.75">
      <c r="A28" s="74" t="s">
        <v>376</v>
      </c>
      <c r="B28" s="102" t="s">
        <v>409</v>
      </c>
      <c r="C28" s="102" t="s">
        <v>6</v>
      </c>
      <c r="D28" s="102" t="s">
        <v>7</v>
      </c>
      <c r="E28" s="103" t="s">
        <v>414</v>
      </c>
      <c r="F28" s="103" t="s">
        <v>16</v>
      </c>
      <c r="G28" s="61">
        <f>G29</f>
        <v>120.8</v>
      </c>
      <c r="H28" s="61">
        <v>139.1</v>
      </c>
      <c r="I28" s="61">
        <v>139.1</v>
      </c>
    </row>
    <row r="29" spans="1:9" s="56" customFormat="1" ht="75">
      <c r="A29" s="99" t="s">
        <v>364</v>
      </c>
      <c r="B29" s="100" t="s">
        <v>409</v>
      </c>
      <c r="C29" s="100" t="s">
        <v>6</v>
      </c>
      <c r="D29" s="100" t="s">
        <v>7</v>
      </c>
      <c r="E29" s="101" t="s">
        <v>414</v>
      </c>
      <c r="F29" s="101" t="s">
        <v>411</v>
      </c>
      <c r="G29" s="35">
        <f>G30</f>
        <v>120.8</v>
      </c>
      <c r="H29" s="35">
        <v>107.9</v>
      </c>
      <c r="I29" s="35">
        <v>107.9</v>
      </c>
    </row>
    <row r="30" spans="1:9" s="56" customFormat="1" ht="30">
      <c r="A30" s="99" t="s">
        <v>365</v>
      </c>
      <c r="B30" s="100" t="s">
        <v>409</v>
      </c>
      <c r="C30" s="100" t="s">
        <v>6</v>
      </c>
      <c r="D30" s="100" t="s">
        <v>7</v>
      </c>
      <c r="E30" s="101" t="s">
        <v>414</v>
      </c>
      <c r="F30" s="101" t="s">
        <v>50</v>
      </c>
      <c r="G30" s="35">
        <f>SUM(G31:G32)</f>
        <v>120.8</v>
      </c>
      <c r="H30" s="35">
        <v>31.2</v>
      </c>
      <c r="I30" s="35">
        <v>31.2</v>
      </c>
    </row>
    <row r="31" spans="1:9" s="56" customFormat="1" ht="30">
      <c r="A31" s="99" t="s">
        <v>366</v>
      </c>
      <c r="B31" s="100" t="s">
        <v>409</v>
      </c>
      <c r="C31" s="100" t="s">
        <v>6</v>
      </c>
      <c r="D31" s="100" t="s">
        <v>7</v>
      </c>
      <c r="E31" s="101" t="s">
        <v>414</v>
      </c>
      <c r="F31" s="101" t="s">
        <v>26</v>
      </c>
      <c r="G31" s="35">
        <f>92780.34/1000</f>
        <v>92.78034</v>
      </c>
      <c r="H31" s="35">
        <v>0.7</v>
      </c>
      <c r="I31" s="35">
        <v>0.7</v>
      </c>
    </row>
    <row r="32" spans="1:9" s="56" customFormat="1" ht="60">
      <c r="A32" s="99" t="s">
        <v>367</v>
      </c>
      <c r="B32" s="100" t="s">
        <v>409</v>
      </c>
      <c r="C32" s="100" t="s">
        <v>6</v>
      </c>
      <c r="D32" s="100" t="s">
        <v>7</v>
      </c>
      <c r="E32" s="101" t="s">
        <v>414</v>
      </c>
      <c r="F32" s="101" t="s">
        <v>48</v>
      </c>
      <c r="G32" s="35">
        <f>28019.66/1000</f>
        <v>28.01966</v>
      </c>
      <c r="H32" s="35">
        <v>0.7</v>
      </c>
      <c r="I32" s="35">
        <v>0.7</v>
      </c>
    </row>
    <row r="33" spans="1:9" s="63" customFormat="1" ht="99.75">
      <c r="A33" s="74" t="s">
        <v>377</v>
      </c>
      <c r="B33" s="102" t="s">
        <v>409</v>
      </c>
      <c r="C33" s="102" t="s">
        <v>6</v>
      </c>
      <c r="D33" s="102" t="s">
        <v>7</v>
      </c>
      <c r="E33" s="103" t="s">
        <v>415</v>
      </c>
      <c r="F33" s="103" t="s">
        <v>16</v>
      </c>
      <c r="G33" s="61">
        <f>G34</f>
        <v>0.7</v>
      </c>
      <c r="H33" s="61">
        <v>0.7</v>
      </c>
      <c r="I33" s="61">
        <v>0.7</v>
      </c>
    </row>
    <row r="34" spans="1:9" s="56" customFormat="1" ht="30">
      <c r="A34" s="99" t="s">
        <v>368</v>
      </c>
      <c r="B34" s="100" t="s">
        <v>409</v>
      </c>
      <c r="C34" s="100" t="s">
        <v>6</v>
      </c>
      <c r="D34" s="100" t="s">
        <v>7</v>
      </c>
      <c r="E34" s="101" t="s">
        <v>415</v>
      </c>
      <c r="F34" s="101" t="s">
        <v>83</v>
      </c>
      <c r="G34" s="35">
        <f>G35</f>
        <v>0.7</v>
      </c>
      <c r="H34" s="35">
        <v>0.7</v>
      </c>
      <c r="I34" s="35">
        <v>0.7</v>
      </c>
    </row>
    <row r="35" spans="1:9" s="56" customFormat="1" ht="45">
      <c r="A35" s="99" t="s">
        <v>369</v>
      </c>
      <c r="B35" s="100" t="s">
        <v>409</v>
      </c>
      <c r="C35" s="100" t="s">
        <v>6</v>
      </c>
      <c r="D35" s="100" t="s">
        <v>7</v>
      </c>
      <c r="E35" s="101" t="s">
        <v>415</v>
      </c>
      <c r="F35" s="101" t="s">
        <v>32</v>
      </c>
      <c r="G35" s="35">
        <f>G36</f>
        <v>0.7</v>
      </c>
      <c r="H35" s="35"/>
      <c r="I35" s="35"/>
    </row>
    <row r="36" spans="1:9" s="56" customFormat="1" ht="15">
      <c r="A36" s="99" t="s">
        <v>370</v>
      </c>
      <c r="B36" s="100" t="s">
        <v>409</v>
      </c>
      <c r="C36" s="100" t="s">
        <v>6</v>
      </c>
      <c r="D36" s="100" t="s">
        <v>7</v>
      </c>
      <c r="E36" s="101" t="s">
        <v>415</v>
      </c>
      <c r="F36" s="101" t="s">
        <v>27</v>
      </c>
      <c r="G36" s="35">
        <f>700/1000</f>
        <v>0.7</v>
      </c>
      <c r="H36" s="35"/>
      <c r="I36" s="35"/>
    </row>
    <row r="37" spans="1:9" s="63" customFormat="1" ht="27" customHeight="1">
      <c r="A37" s="74" t="s">
        <v>378</v>
      </c>
      <c r="B37" s="102" t="s">
        <v>409</v>
      </c>
      <c r="C37" s="102" t="s">
        <v>6</v>
      </c>
      <c r="D37" s="102" t="s">
        <v>17</v>
      </c>
      <c r="E37" s="103" t="s">
        <v>416</v>
      </c>
      <c r="F37" s="103" t="s">
        <v>16</v>
      </c>
      <c r="G37" s="61">
        <f>G38</f>
        <v>300</v>
      </c>
      <c r="H37" s="61">
        <v>300</v>
      </c>
      <c r="I37" s="61">
        <v>300</v>
      </c>
    </row>
    <row r="38" spans="1:9" s="56" customFormat="1" ht="15">
      <c r="A38" s="99" t="s">
        <v>372</v>
      </c>
      <c r="B38" s="100" t="s">
        <v>409</v>
      </c>
      <c r="C38" s="100" t="s">
        <v>6</v>
      </c>
      <c r="D38" s="100" t="s">
        <v>17</v>
      </c>
      <c r="E38" s="101" t="s">
        <v>416</v>
      </c>
      <c r="F38" s="101" t="s">
        <v>51</v>
      </c>
      <c r="G38" s="35">
        <f>G39</f>
        <v>300</v>
      </c>
      <c r="H38" s="35">
        <v>300</v>
      </c>
      <c r="I38" s="35">
        <v>300</v>
      </c>
    </row>
    <row r="39" spans="1:9" s="56" customFormat="1" ht="15">
      <c r="A39" s="99" t="s">
        <v>379</v>
      </c>
      <c r="B39" s="100" t="s">
        <v>409</v>
      </c>
      <c r="C39" s="100" t="s">
        <v>6</v>
      </c>
      <c r="D39" s="100" t="s">
        <v>17</v>
      </c>
      <c r="E39" s="101" t="s">
        <v>416</v>
      </c>
      <c r="F39" s="101" t="s">
        <v>28</v>
      </c>
      <c r="G39" s="35">
        <f>300000/1000</f>
        <v>300</v>
      </c>
      <c r="H39" s="35">
        <v>300</v>
      </c>
      <c r="I39" s="35">
        <v>300</v>
      </c>
    </row>
    <row r="40" spans="1:9" s="63" customFormat="1" ht="28.5">
      <c r="A40" s="74" t="s">
        <v>383</v>
      </c>
      <c r="B40" s="102" t="s">
        <v>409</v>
      </c>
      <c r="C40" s="102" t="s">
        <v>6</v>
      </c>
      <c r="D40" s="102" t="s">
        <v>59</v>
      </c>
      <c r="E40" s="103" t="s">
        <v>419</v>
      </c>
      <c r="F40" s="103" t="s">
        <v>16</v>
      </c>
      <c r="G40" s="61">
        <f>G41</f>
        <v>300</v>
      </c>
      <c r="H40" s="61">
        <v>2729.8</v>
      </c>
      <c r="I40" s="61">
        <v>2831.4</v>
      </c>
    </row>
    <row r="41" spans="1:9" s="56" customFormat="1" ht="30">
      <c r="A41" s="99" t="s">
        <v>368</v>
      </c>
      <c r="B41" s="100" t="s">
        <v>409</v>
      </c>
      <c r="C41" s="100" t="s">
        <v>6</v>
      </c>
      <c r="D41" s="100" t="s">
        <v>59</v>
      </c>
      <c r="E41" s="101" t="s">
        <v>419</v>
      </c>
      <c r="F41" s="101" t="s">
        <v>83</v>
      </c>
      <c r="G41" s="35">
        <f>G42</f>
        <v>300</v>
      </c>
      <c r="H41" s="35">
        <v>2729.8</v>
      </c>
      <c r="I41" s="35">
        <v>2831.4</v>
      </c>
    </row>
    <row r="42" spans="1:9" s="56" customFormat="1" ht="45">
      <c r="A42" s="99" t="s">
        <v>369</v>
      </c>
      <c r="B42" s="100" t="s">
        <v>409</v>
      </c>
      <c r="C42" s="100" t="s">
        <v>6</v>
      </c>
      <c r="D42" s="100" t="s">
        <v>59</v>
      </c>
      <c r="E42" s="101" t="s">
        <v>419</v>
      </c>
      <c r="F42" s="101" t="s">
        <v>32</v>
      </c>
      <c r="G42" s="35">
        <f>G43</f>
        <v>300</v>
      </c>
      <c r="H42" s="35">
        <v>2729.8</v>
      </c>
      <c r="I42" s="35">
        <v>2831.4</v>
      </c>
    </row>
    <row r="43" spans="1:9" s="56" customFormat="1" ht="15">
      <c r="A43" s="99" t="s">
        <v>370</v>
      </c>
      <c r="B43" s="100" t="s">
        <v>409</v>
      </c>
      <c r="C43" s="100" t="s">
        <v>6</v>
      </c>
      <c r="D43" s="100" t="s">
        <v>59</v>
      </c>
      <c r="E43" s="101" t="s">
        <v>419</v>
      </c>
      <c r="F43" s="101" t="s">
        <v>27</v>
      </c>
      <c r="G43" s="35">
        <f>300000/1000</f>
        <v>300</v>
      </c>
      <c r="H43" s="35">
        <v>1910.86</v>
      </c>
      <c r="I43" s="35">
        <v>1981.98</v>
      </c>
    </row>
    <row r="44" spans="1:9" s="56" customFormat="1" ht="28.5">
      <c r="A44" s="104" t="s">
        <v>274</v>
      </c>
      <c r="B44" s="105" t="s">
        <v>409</v>
      </c>
      <c r="C44" s="105" t="s">
        <v>8</v>
      </c>
      <c r="D44" s="105" t="s">
        <v>3</v>
      </c>
      <c r="E44" s="106" t="s">
        <v>410</v>
      </c>
      <c r="F44" s="106" t="s">
        <v>16</v>
      </c>
      <c r="G44" s="82">
        <f>G45</f>
        <v>3197.7999999999997</v>
      </c>
      <c r="H44" s="35">
        <v>818.94</v>
      </c>
      <c r="I44" s="35">
        <v>849.42</v>
      </c>
    </row>
    <row r="45" spans="1:9" s="63" customFormat="1" ht="42.75">
      <c r="A45" s="74" t="s">
        <v>384</v>
      </c>
      <c r="B45" s="102" t="s">
        <v>409</v>
      </c>
      <c r="C45" s="102" t="s">
        <v>8</v>
      </c>
      <c r="D45" s="102" t="s">
        <v>11</v>
      </c>
      <c r="E45" s="103" t="s">
        <v>420</v>
      </c>
      <c r="F45" s="103" t="s">
        <v>16</v>
      </c>
      <c r="G45" s="61">
        <f>G46</f>
        <v>3197.7999999999997</v>
      </c>
      <c r="H45" s="61">
        <v>520</v>
      </c>
      <c r="I45" s="61">
        <v>520</v>
      </c>
    </row>
    <row r="46" spans="1:9" s="56" customFormat="1" ht="75">
      <c r="A46" s="99" t="s">
        <v>364</v>
      </c>
      <c r="B46" s="100" t="s">
        <v>409</v>
      </c>
      <c r="C46" s="100" t="s">
        <v>8</v>
      </c>
      <c r="D46" s="100" t="s">
        <v>11</v>
      </c>
      <c r="E46" s="101" t="s">
        <v>420</v>
      </c>
      <c r="F46" s="101" t="s">
        <v>411</v>
      </c>
      <c r="G46" s="35">
        <f>G47</f>
        <v>3197.7999999999997</v>
      </c>
      <c r="H46" s="35">
        <v>120</v>
      </c>
      <c r="I46" s="35">
        <v>120</v>
      </c>
    </row>
    <row r="47" spans="1:9" s="56" customFormat="1" ht="30">
      <c r="A47" s="99" t="s">
        <v>365</v>
      </c>
      <c r="B47" s="100" t="s">
        <v>409</v>
      </c>
      <c r="C47" s="100" t="s">
        <v>8</v>
      </c>
      <c r="D47" s="100" t="s">
        <v>11</v>
      </c>
      <c r="E47" s="101" t="s">
        <v>420</v>
      </c>
      <c r="F47" s="101" t="s">
        <v>50</v>
      </c>
      <c r="G47" s="35">
        <f>SUM(G48:G49)</f>
        <v>3197.7999999999997</v>
      </c>
      <c r="H47" s="35">
        <v>120</v>
      </c>
      <c r="I47" s="35">
        <v>120</v>
      </c>
    </row>
    <row r="48" spans="1:9" s="56" customFormat="1" ht="26.25" customHeight="1">
      <c r="A48" s="99" t="s">
        <v>366</v>
      </c>
      <c r="B48" s="100" t="s">
        <v>409</v>
      </c>
      <c r="C48" s="100" t="s">
        <v>8</v>
      </c>
      <c r="D48" s="100" t="s">
        <v>11</v>
      </c>
      <c r="E48" s="101" t="s">
        <v>420</v>
      </c>
      <c r="F48" s="101" t="s">
        <v>26</v>
      </c>
      <c r="G48" s="35">
        <f>2456067.59/1000</f>
        <v>2456.0675899999997</v>
      </c>
      <c r="H48" s="35">
        <v>120</v>
      </c>
      <c r="I48" s="35">
        <v>120</v>
      </c>
    </row>
    <row r="49" spans="1:9" s="56" customFormat="1" ht="60">
      <c r="A49" s="99" t="s">
        <v>367</v>
      </c>
      <c r="B49" s="100" t="s">
        <v>409</v>
      </c>
      <c r="C49" s="100" t="s">
        <v>8</v>
      </c>
      <c r="D49" s="100" t="s">
        <v>11</v>
      </c>
      <c r="E49" s="101" t="s">
        <v>420</v>
      </c>
      <c r="F49" s="101" t="s">
        <v>48</v>
      </c>
      <c r="G49" s="35">
        <f>741732.41/1000</f>
        <v>741.7324100000001</v>
      </c>
      <c r="H49" s="35">
        <v>120</v>
      </c>
      <c r="I49" s="35">
        <v>120</v>
      </c>
    </row>
    <row r="50" spans="1:9" s="56" customFormat="1" ht="28.5">
      <c r="A50" s="104" t="s">
        <v>33</v>
      </c>
      <c r="B50" s="105" t="s">
        <v>409</v>
      </c>
      <c r="C50" s="105" t="s">
        <v>11</v>
      </c>
      <c r="D50" s="105" t="s">
        <v>3</v>
      </c>
      <c r="E50" s="106" t="s">
        <v>410</v>
      </c>
      <c r="F50" s="106" t="s">
        <v>16</v>
      </c>
      <c r="G50" s="82">
        <f>G51+G55</f>
        <v>520</v>
      </c>
      <c r="H50" s="35">
        <v>100</v>
      </c>
      <c r="I50" s="35">
        <v>100</v>
      </c>
    </row>
    <row r="51" spans="1:9" s="56" customFormat="1" ht="42.75">
      <c r="A51" s="74" t="s">
        <v>385</v>
      </c>
      <c r="B51" s="102" t="s">
        <v>409</v>
      </c>
      <c r="C51" s="102" t="s">
        <v>11</v>
      </c>
      <c r="D51" s="102" t="s">
        <v>25</v>
      </c>
      <c r="E51" s="103" t="s">
        <v>421</v>
      </c>
      <c r="F51" s="103" t="s">
        <v>16</v>
      </c>
      <c r="G51" s="61">
        <f>G52</f>
        <v>120</v>
      </c>
      <c r="H51" s="35">
        <v>100</v>
      </c>
      <c r="I51" s="35">
        <v>100</v>
      </c>
    </row>
    <row r="52" spans="1:9" s="56" customFormat="1" ht="30">
      <c r="A52" s="99" t="s">
        <v>368</v>
      </c>
      <c r="B52" s="100" t="s">
        <v>409</v>
      </c>
      <c r="C52" s="100" t="s">
        <v>11</v>
      </c>
      <c r="D52" s="100" t="s">
        <v>25</v>
      </c>
      <c r="E52" s="101" t="s">
        <v>421</v>
      </c>
      <c r="F52" s="101" t="s">
        <v>83</v>
      </c>
      <c r="G52" s="35">
        <f>G53</f>
        <v>120</v>
      </c>
      <c r="H52" s="35">
        <v>100</v>
      </c>
      <c r="I52" s="35">
        <v>100</v>
      </c>
    </row>
    <row r="53" spans="1:9" s="56" customFormat="1" ht="45">
      <c r="A53" s="99" t="s">
        <v>369</v>
      </c>
      <c r="B53" s="100" t="s">
        <v>409</v>
      </c>
      <c r="C53" s="100" t="s">
        <v>11</v>
      </c>
      <c r="D53" s="100" t="s">
        <v>25</v>
      </c>
      <c r="E53" s="101" t="s">
        <v>421</v>
      </c>
      <c r="F53" s="101" t="s">
        <v>32</v>
      </c>
      <c r="G53" s="35">
        <f>G54</f>
        <v>120</v>
      </c>
      <c r="H53" s="35">
        <v>20</v>
      </c>
      <c r="I53" s="35">
        <v>20</v>
      </c>
    </row>
    <row r="54" spans="1:9" s="56" customFormat="1" ht="15">
      <c r="A54" s="99" t="s">
        <v>370</v>
      </c>
      <c r="B54" s="100" t="s">
        <v>409</v>
      </c>
      <c r="C54" s="100" t="s">
        <v>11</v>
      </c>
      <c r="D54" s="100" t="s">
        <v>25</v>
      </c>
      <c r="E54" s="101" t="s">
        <v>421</v>
      </c>
      <c r="F54" s="101" t="s">
        <v>27</v>
      </c>
      <c r="G54" s="35">
        <f>120000/1000</f>
        <v>120</v>
      </c>
      <c r="H54" s="35">
        <v>20</v>
      </c>
      <c r="I54" s="35">
        <v>20</v>
      </c>
    </row>
    <row r="55" spans="1:9" s="56" customFormat="1" ht="28.5">
      <c r="A55" s="74" t="s">
        <v>386</v>
      </c>
      <c r="B55" s="102" t="s">
        <v>409</v>
      </c>
      <c r="C55" s="102" t="s">
        <v>11</v>
      </c>
      <c r="D55" s="102" t="s">
        <v>30</v>
      </c>
      <c r="E55" s="103" t="s">
        <v>422</v>
      </c>
      <c r="F55" s="103" t="s">
        <v>16</v>
      </c>
      <c r="G55" s="61">
        <f>G56</f>
        <v>400</v>
      </c>
      <c r="H55" s="35">
        <v>400</v>
      </c>
      <c r="I55" s="35">
        <v>400</v>
      </c>
    </row>
    <row r="56" spans="1:9" s="56" customFormat="1" ht="30">
      <c r="A56" s="99" t="s">
        <v>368</v>
      </c>
      <c r="B56" s="100" t="s">
        <v>409</v>
      </c>
      <c r="C56" s="100" t="s">
        <v>11</v>
      </c>
      <c r="D56" s="100" t="s">
        <v>30</v>
      </c>
      <c r="E56" s="101" t="s">
        <v>422</v>
      </c>
      <c r="F56" s="101" t="s">
        <v>83</v>
      </c>
      <c r="G56" s="35">
        <f>G57</f>
        <v>400</v>
      </c>
      <c r="H56" s="35">
        <v>300</v>
      </c>
      <c r="I56" s="35">
        <v>300</v>
      </c>
    </row>
    <row r="57" spans="1:9" s="56" customFormat="1" ht="45">
      <c r="A57" s="99" t="s">
        <v>369</v>
      </c>
      <c r="B57" s="100" t="s">
        <v>409</v>
      </c>
      <c r="C57" s="100" t="s">
        <v>11</v>
      </c>
      <c r="D57" s="100" t="s">
        <v>30</v>
      </c>
      <c r="E57" s="101" t="s">
        <v>422</v>
      </c>
      <c r="F57" s="101" t="s">
        <v>32</v>
      </c>
      <c r="G57" s="35">
        <f>G58</f>
        <v>400</v>
      </c>
      <c r="H57" s="35">
        <v>300</v>
      </c>
      <c r="I57" s="35">
        <v>300</v>
      </c>
    </row>
    <row r="58" spans="1:9" s="56" customFormat="1" ht="15">
      <c r="A58" s="99" t="s">
        <v>370</v>
      </c>
      <c r="B58" s="100" t="s">
        <v>409</v>
      </c>
      <c r="C58" s="100" t="s">
        <v>11</v>
      </c>
      <c r="D58" s="100" t="s">
        <v>30</v>
      </c>
      <c r="E58" s="101" t="s">
        <v>422</v>
      </c>
      <c r="F58" s="101" t="s">
        <v>27</v>
      </c>
      <c r="G58" s="35">
        <f>400000/1000</f>
        <v>400</v>
      </c>
      <c r="H58" s="35">
        <v>300</v>
      </c>
      <c r="I58" s="35">
        <v>300</v>
      </c>
    </row>
    <row r="59" spans="1:9" s="63" customFormat="1" ht="28.5">
      <c r="A59" s="104" t="s">
        <v>24</v>
      </c>
      <c r="B59" s="105" t="s">
        <v>409</v>
      </c>
      <c r="C59" s="105" t="s">
        <v>7</v>
      </c>
      <c r="D59" s="105" t="s">
        <v>3</v>
      </c>
      <c r="E59" s="106" t="s">
        <v>410</v>
      </c>
      <c r="F59" s="106" t="s">
        <v>16</v>
      </c>
      <c r="G59" s="82">
        <f>G60+G81</f>
        <v>123345.66</v>
      </c>
      <c r="H59" s="61">
        <v>96898.522</v>
      </c>
      <c r="I59" s="61">
        <v>95963.51515</v>
      </c>
    </row>
    <row r="60" spans="1:9" s="63" customFormat="1" ht="50.25" customHeight="1">
      <c r="A60" s="107" t="s">
        <v>314</v>
      </c>
      <c r="B60" s="108" t="s">
        <v>409</v>
      </c>
      <c r="C60" s="108" t="s">
        <v>7</v>
      </c>
      <c r="D60" s="108" t="s">
        <v>25</v>
      </c>
      <c r="E60" s="109" t="s">
        <v>410</v>
      </c>
      <c r="F60" s="109" t="s">
        <v>16</v>
      </c>
      <c r="G60" s="85">
        <f>G61+G65+G71+G75</f>
        <v>121345.66</v>
      </c>
      <c r="H60" s="61">
        <v>96898.522</v>
      </c>
      <c r="I60" s="61">
        <v>95963.51515</v>
      </c>
    </row>
    <row r="61" spans="1:9" s="56" customFormat="1" ht="71.25">
      <c r="A61" s="74" t="s">
        <v>387</v>
      </c>
      <c r="B61" s="102" t="s">
        <v>409</v>
      </c>
      <c r="C61" s="102" t="s">
        <v>7</v>
      </c>
      <c r="D61" s="102" t="s">
        <v>25</v>
      </c>
      <c r="E61" s="103" t="s">
        <v>423</v>
      </c>
      <c r="F61" s="103" t="s">
        <v>16</v>
      </c>
      <c r="G61" s="61">
        <f>G62</f>
        <v>15600</v>
      </c>
      <c r="H61" s="35">
        <v>86956.522</v>
      </c>
      <c r="I61" s="35">
        <v>86021.51515</v>
      </c>
    </row>
    <row r="62" spans="1:9" s="56" customFormat="1" ht="30">
      <c r="A62" s="99" t="s">
        <v>368</v>
      </c>
      <c r="B62" s="100" t="s">
        <v>409</v>
      </c>
      <c r="C62" s="100" t="s">
        <v>7</v>
      </c>
      <c r="D62" s="100" t="s">
        <v>25</v>
      </c>
      <c r="E62" s="101" t="s">
        <v>423</v>
      </c>
      <c r="F62" s="101" t="s">
        <v>83</v>
      </c>
      <c r="G62" s="35">
        <f>G63</f>
        <v>15600</v>
      </c>
      <c r="H62" s="35">
        <v>86956.522</v>
      </c>
      <c r="I62" s="35">
        <v>86021.51515</v>
      </c>
    </row>
    <row r="63" spans="1:9" s="56" customFormat="1" ht="28.5" customHeight="1">
      <c r="A63" s="99" t="s">
        <v>295</v>
      </c>
      <c r="B63" s="100" t="s">
        <v>409</v>
      </c>
      <c r="C63" s="100" t="s">
        <v>7</v>
      </c>
      <c r="D63" s="100" t="s">
        <v>25</v>
      </c>
      <c r="E63" s="101" t="s">
        <v>423</v>
      </c>
      <c r="F63" s="101" t="s">
        <v>32</v>
      </c>
      <c r="G63" s="35">
        <f>G64</f>
        <v>15600</v>
      </c>
      <c r="H63" s="35">
        <v>0</v>
      </c>
      <c r="I63" s="35">
        <v>0</v>
      </c>
    </row>
    <row r="64" spans="1:9" s="56" customFormat="1" ht="16.5" customHeight="1">
      <c r="A64" s="99" t="s">
        <v>370</v>
      </c>
      <c r="B64" s="100" t="s">
        <v>409</v>
      </c>
      <c r="C64" s="100" t="s">
        <v>7</v>
      </c>
      <c r="D64" s="100" t="s">
        <v>25</v>
      </c>
      <c r="E64" s="101" t="s">
        <v>423</v>
      </c>
      <c r="F64" s="101" t="s">
        <v>27</v>
      </c>
      <c r="G64" s="35">
        <f>15600000/1000</f>
        <v>15600</v>
      </c>
      <c r="H64" s="35">
        <v>0</v>
      </c>
      <c r="I64" s="35">
        <v>0</v>
      </c>
    </row>
    <row r="65" spans="1:9" s="56" customFormat="1" ht="51.75" customHeight="1">
      <c r="A65" s="74" t="s">
        <v>388</v>
      </c>
      <c r="B65" s="102" t="s">
        <v>409</v>
      </c>
      <c r="C65" s="102" t="s">
        <v>7</v>
      </c>
      <c r="D65" s="102" t="s">
        <v>25</v>
      </c>
      <c r="E65" s="103" t="s">
        <v>424</v>
      </c>
      <c r="F65" s="103" t="s">
        <v>16</v>
      </c>
      <c r="G65" s="61">
        <f>G66</f>
        <v>88737.31</v>
      </c>
      <c r="H65" s="35"/>
      <c r="I65" s="35"/>
    </row>
    <row r="66" spans="1:9" s="56" customFormat="1" ht="51.75" customHeight="1">
      <c r="A66" s="99" t="s">
        <v>368</v>
      </c>
      <c r="B66" s="100" t="s">
        <v>409</v>
      </c>
      <c r="C66" s="100" t="s">
        <v>7</v>
      </c>
      <c r="D66" s="100" t="s">
        <v>25</v>
      </c>
      <c r="E66" s="101" t="s">
        <v>424</v>
      </c>
      <c r="F66" s="101" t="s">
        <v>83</v>
      </c>
      <c r="G66" s="35">
        <f>G67</f>
        <v>88737.31</v>
      </c>
      <c r="H66" s="35">
        <v>86956.522</v>
      </c>
      <c r="I66" s="35">
        <v>86021.51515</v>
      </c>
    </row>
    <row r="67" spans="1:9" s="56" customFormat="1" ht="37.5" customHeight="1">
      <c r="A67" s="99" t="s">
        <v>369</v>
      </c>
      <c r="B67" s="100" t="s">
        <v>409</v>
      </c>
      <c r="C67" s="100" t="s">
        <v>7</v>
      </c>
      <c r="D67" s="100" t="s">
        <v>25</v>
      </c>
      <c r="E67" s="101" t="s">
        <v>424</v>
      </c>
      <c r="F67" s="101" t="s">
        <v>32</v>
      </c>
      <c r="G67" s="35">
        <f>G68</f>
        <v>88737.31</v>
      </c>
      <c r="H67" s="35">
        <v>80000</v>
      </c>
      <c r="I67" s="35">
        <v>80000</v>
      </c>
    </row>
    <row r="68" spans="1:9" s="56" customFormat="1" ht="39" customHeight="1">
      <c r="A68" s="99" t="s">
        <v>466</v>
      </c>
      <c r="B68" s="100" t="s">
        <v>409</v>
      </c>
      <c r="C68" s="100" t="s">
        <v>7</v>
      </c>
      <c r="D68" s="100" t="s">
        <v>25</v>
      </c>
      <c r="E68" s="101" t="s">
        <v>424</v>
      </c>
      <c r="F68" s="101" t="s">
        <v>57</v>
      </c>
      <c r="G68" s="35">
        <f>88737310/1000</f>
        <v>88737.31</v>
      </c>
      <c r="H68" s="35">
        <v>6956.522</v>
      </c>
      <c r="I68" s="35">
        <v>6021.515150000006</v>
      </c>
    </row>
    <row r="69" spans="1:9" s="56" customFormat="1" ht="51" customHeight="1">
      <c r="A69" s="86" t="s">
        <v>464</v>
      </c>
      <c r="B69" s="87">
        <v>717</v>
      </c>
      <c r="C69" s="79" t="s">
        <v>7</v>
      </c>
      <c r="D69" s="79" t="s">
        <v>25</v>
      </c>
      <c r="E69" s="79" t="s">
        <v>352</v>
      </c>
      <c r="F69" s="79" t="s">
        <v>57</v>
      </c>
      <c r="G69" s="88">
        <f>80000000/1000</f>
        <v>80000</v>
      </c>
      <c r="H69" s="35"/>
      <c r="I69" s="35"/>
    </row>
    <row r="70" spans="1:9" s="56" customFormat="1" ht="49.5" customHeight="1">
      <c r="A70" s="86" t="s">
        <v>465</v>
      </c>
      <c r="B70" s="87">
        <v>717</v>
      </c>
      <c r="C70" s="79" t="s">
        <v>7</v>
      </c>
      <c r="D70" s="79" t="s">
        <v>25</v>
      </c>
      <c r="E70" s="79" t="s">
        <v>352</v>
      </c>
      <c r="F70" s="79" t="s">
        <v>57</v>
      </c>
      <c r="G70" s="88">
        <f>8737310/1000</f>
        <v>8737.31</v>
      </c>
      <c r="H70" s="35"/>
      <c r="I70" s="35"/>
    </row>
    <row r="71" spans="1:9" s="56" customFormat="1" ht="39.75" customHeight="1">
      <c r="A71" s="74" t="s">
        <v>389</v>
      </c>
      <c r="B71" s="102" t="s">
        <v>409</v>
      </c>
      <c r="C71" s="102" t="s">
        <v>7</v>
      </c>
      <c r="D71" s="102" t="s">
        <v>25</v>
      </c>
      <c r="E71" s="103" t="s">
        <v>425</v>
      </c>
      <c r="F71" s="103" t="s">
        <v>16</v>
      </c>
      <c r="G71" s="61">
        <f>G72</f>
        <v>704</v>
      </c>
      <c r="H71" s="35"/>
      <c r="I71" s="35"/>
    </row>
    <row r="72" spans="1:9" s="56" customFormat="1" ht="82.5" customHeight="1">
      <c r="A72" s="99" t="s">
        <v>368</v>
      </c>
      <c r="B72" s="100" t="s">
        <v>409</v>
      </c>
      <c r="C72" s="100" t="s">
        <v>7</v>
      </c>
      <c r="D72" s="100" t="s">
        <v>25</v>
      </c>
      <c r="E72" s="101" t="s">
        <v>425</v>
      </c>
      <c r="F72" s="101" t="s">
        <v>83</v>
      </c>
      <c r="G72" s="35">
        <f>G73</f>
        <v>704</v>
      </c>
      <c r="H72" s="35"/>
      <c r="I72" s="35"/>
    </row>
    <row r="73" spans="1:9" s="56" customFormat="1" ht="45">
      <c r="A73" s="99" t="s">
        <v>369</v>
      </c>
      <c r="B73" s="100" t="s">
        <v>409</v>
      </c>
      <c r="C73" s="100" t="s">
        <v>7</v>
      </c>
      <c r="D73" s="100" t="s">
        <v>25</v>
      </c>
      <c r="E73" s="101" t="s">
        <v>425</v>
      </c>
      <c r="F73" s="101" t="s">
        <v>32</v>
      </c>
      <c r="G73" s="35">
        <f>G74</f>
        <v>704</v>
      </c>
      <c r="H73" s="35">
        <v>7918.26087</v>
      </c>
      <c r="I73" s="35">
        <v>7835.26882</v>
      </c>
    </row>
    <row r="74" spans="1:9" s="56" customFormat="1" ht="15">
      <c r="A74" s="99" t="s">
        <v>370</v>
      </c>
      <c r="B74" s="100" t="s">
        <v>409</v>
      </c>
      <c r="C74" s="100" t="s">
        <v>7</v>
      </c>
      <c r="D74" s="100" t="s">
        <v>25</v>
      </c>
      <c r="E74" s="101" t="s">
        <v>425</v>
      </c>
      <c r="F74" s="101" t="s">
        <v>27</v>
      </c>
      <c r="G74" s="35">
        <f>704000/1000</f>
        <v>704</v>
      </c>
      <c r="H74" s="35">
        <v>7918.26087</v>
      </c>
      <c r="I74" s="35">
        <v>7835.26882</v>
      </c>
    </row>
    <row r="75" spans="1:9" s="56" customFormat="1" ht="39" customHeight="1">
      <c r="A75" s="74" t="s">
        <v>390</v>
      </c>
      <c r="B75" s="102" t="s">
        <v>409</v>
      </c>
      <c r="C75" s="102" t="s">
        <v>7</v>
      </c>
      <c r="D75" s="102" t="s">
        <v>25</v>
      </c>
      <c r="E75" s="103" t="s">
        <v>426</v>
      </c>
      <c r="F75" s="103" t="s">
        <v>16</v>
      </c>
      <c r="G75" s="61">
        <f>G76</f>
        <v>16304.35</v>
      </c>
      <c r="H75" s="35">
        <v>617.4608700000001</v>
      </c>
      <c r="I75" s="35">
        <v>534.4688200000003</v>
      </c>
    </row>
    <row r="76" spans="1:9" s="56" customFormat="1" ht="39" customHeight="1">
      <c r="A76" s="99" t="s">
        <v>368</v>
      </c>
      <c r="B76" s="100" t="s">
        <v>409</v>
      </c>
      <c r="C76" s="100" t="s">
        <v>7</v>
      </c>
      <c r="D76" s="100" t="s">
        <v>25</v>
      </c>
      <c r="E76" s="101" t="s">
        <v>426</v>
      </c>
      <c r="F76" s="101" t="s">
        <v>83</v>
      </c>
      <c r="G76" s="35">
        <f>G77</f>
        <v>16304.35</v>
      </c>
      <c r="H76" s="35">
        <v>0</v>
      </c>
      <c r="I76" s="35">
        <v>0</v>
      </c>
    </row>
    <row r="77" spans="1:9" s="56" customFormat="1" ht="38.25" customHeight="1">
      <c r="A77" s="99" t="s">
        <v>369</v>
      </c>
      <c r="B77" s="100" t="s">
        <v>409</v>
      </c>
      <c r="C77" s="100" t="s">
        <v>7</v>
      </c>
      <c r="D77" s="100" t="s">
        <v>25</v>
      </c>
      <c r="E77" s="101" t="s">
        <v>426</v>
      </c>
      <c r="F77" s="101" t="s">
        <v>32</v>
      </c>
      <c r="G77" s="35">
        <f>G78</f>
        <v>16304.35</v>
      </c>
      <c r="H77" s="35">
        <v>0</v>
      </c>
      <c r="I77" s="35">
        <v>0</v>
      </c>
    </row>
    <row r="78" spans="1:9" s="56" customFormat="1" ht="15">
      <c r="A78" s="99" t="s">
        <v>370</v>
      </c>
      <c r="B78" s="100" t="s">
        <v>409</v>
      </c>
      <c r="C78" s="100" t="s">
        <v>7</v>
      </c>
      <c r="D78" s="100" t="s">
        <v>25</v>
      </c>
      <c r="E78" s="101" t="s">
        <v>426</v>
      </c>
      <c r="F78" s="101" t="s">
        <v>27</v>
      </c>
      <c r="G78" s="35">
        <f>16304350/1000</f>
        <v>16304.35</v>
      </c>
      <c r="H78" s="35">
        <v>200</v>
      </c>
      <c r="I78" s="35">
        <v>200</v>
      </c>
    </row>
    <row r="79" spans="1:9" s="56" customFormat="1" ht="15">
      <c r="A79" s="86" t="s">
        <v>495</v>
      </c>
      <c r="B79" s="87">
        <v>717</v>
      </c>
      <c r="C79" s="79" t="s">
        <v>7</v>
      </c>
      <c r="D79" s="79" t="s">
        <v>25</v>
      </c>
      <c r="E79" s="79" t="s">
        <v>68</v>
      </c>
      <c r="F79" s="79" t="s">
        <v>27</v>
      </c>
      <c r="G79" s="88">
        <f>15000000/1000</f>
        <v>15000</v>
      </c>
      <c r="H79" s="35"/>
      <c r="I79" s="35"/>
    </row>
    <row r="80" spans="1:9" s="56" customFormat="1" ht="15">
      <c r="A80" s="86" t="s">
        <v>496</v>
      </c>
      <c r="B80" s="87">
        <v>717</v>
      </c>
      <c r="C80" s="79" t="s">
        <v>7</v>
      </c>
      <c r="D80" s="79" t="s">
        <v>25</v>
      </c>
      <c r="E80" s="79" t="s">
        <v>68</v>
      </c>
      <c r="F80" s="79" t="s">
        <v>27</v>
      </c>
      <c r="G80" s="88">
        <f>1304350/1000</f>
        <v>1304.35</v>
      </c>
      <c r="H80" s="35"/>
      <c r="I80" s="35"/>
    </row>
    <row r="81" spans="1:9" s="56" customFormat="1" ht="89.25" customHeight="1">
      <c r="A81" s="107" t="s">
        <v>296</v>
      </c>
      <c r="B81" s="108" t="s">
        <v>409</v>
      </c>
      <c r="C81" s="108" t="s">
        <v>7</v>
      </c>
      <c r="D81" s="108" t="s">
        <v>12</v>
      </c>
      <c r="E81" s="109" t="s">
        <v>410</v>
      </c>
      <c r="F81" s="109" t="s">
        <v>16</v>
      </c>
      <c r="G81" s="85">
        <f>G82</f>
        <v>2000</v>
      </c>
      <c r="H81" s="35">
        <v>100</v>
      </c>
      <c r="I81" s="35">
        <v>100</v>
      </c>
    </row>
    <row r="82" spans="1:9" s="56" customFormat="1" ht="87.75" customHeight="1">
      <c r="A82" s="74" t="s">
        <v>389</v>
      </c>
      <c r="B82" s="102" t="s">
        <v>409</v>
      </c>
      <c r="C82" s="102" t="s">
        <v>7</v>
      </c>
      <c r="D82" s="102" t="s">
        <v>12</v>
      </c>
      <c r="E82" s="103" t="s">
        <v>425</v>
      </c>
      <c r="F82" s="103" t="s">
        <v>16</v>
      </c>
      <c r="G82" s="61">
        <f>G83</f>
        <v>2000</v>
      </c>
      <c r="H82" s="35">
        <v>100</v>
      </c>
      <c r="I82" s="35">
        <v>100</v>
      </c>
    </row>
    <row r="83" spans="1:9" s="63" customFormat="1" ht="30">
      <c r="A83" s="99" t="s">
        <v>368</v>
      </c>
      <c r="B83" s="100" t="s">
        <v>409</v>
      </c>
      <c r="C83" s="100" t="s">
        <v>7</v>
      </c>
      <c r="D83" s="100" t="s">
        <v>12</v>
      </c>
      <c r="E83" s="101" t="s">
        <v>425</v>
      </c>
      <c r="F83" s="101" t="s">
        <v>83</v>
      </c>
      <c r="G83" s="35">
        <f>G84</f>
        <v>2000</v>
      </c>
      <c r="H83" s="35">
        <v>200</v>
      </c>
      <c r="I83" s="35">
        <v>200</v>
      </c>
    </row>
    <row r="84" spans="1:9" s="56" customFormat="1" ht="45">
      <c r="A84" s="99" t="s">
        <v>369</v>
      </c>
      <c r="B84" s="100" t="s">
        <v>409</v>
      </c>
      <c r="C84" s="100" t="s">
        <v>7</v>
      </c>
      <c r="D84" s="100" t="s">
        <v>12</v>
      </c>
      <c r="E84" s="101" t="s">
        <v>425</v>
      </c>
      <c r="F84" s="101" t="s">
        <v>32</v>
      </c>
      <c r="G84" s="35">
        <f>G85</f>
        <v>2000</v>
      </c>
      <c r="H84" s="35">
        <v>200</v>
      </c>
      <c r="I84" s="35">
        <v>200</v>
      </c>
    </row>
    <row r="85" spans="1:9" s="56" customFormat="1" ht="15">
      <c r="A85" s="99" t="s">
        <v>370</v>
      </c>
      <c r="B85" s="100" t="s">
        <v>409</v>
      </c>
      <c r="C85" s="100" t="s">
        <v>7</v>
      </c>
      <c r="D85" s="100" t="s">
        <v>12</v>
      </c>
      <c r="E85" s="101" t="s">
        <v>425</v>
      </c>
      <c r="F85" s="101" t="s">
        <v>27</v>
      </c>
      <c r="G85" s="35">
        <f>2000000/1000</f>
        <v>2000</v>
      </c>
      <c r="H85" s="35">
        <v>100</v>
      </c>
      <c r="I85" s="35">
        <v>100</v>
      </c>
    </row>
    <row r="86" spans="1:9" s="63" customFormat="1" ht="28.5">
      <c r="A86" s="104" t="s">
        <v>276</v>
      </c>
      <c r="B86" s="105" t="s">
        <v>409</v>
      </c>
      <c r="C86" s="105" t="s">
        <v>10</v>
      </c>
      <c r="D86" s="105" t="s">
        <v>3</v>
      </c>
      <c r="E86" s="106" t="s">
        <v>410</v>
      </c>
      <c r="F86" s="106" t="s">
        <v>16</v>
      </c>
      <c r="G86" s="82">
        <f>G87+G102+G118</f>
        <v>399484.496</v>
      </c>
      <c r="H86" s="35">
        <v>384447.67566</v>
      </c>
      <c r="I86" s="35">
        <v>23219.147739999997</v>
      </c>
    </row>
    <row r="87" spans="1:9" s="56" customFormat="1" ht="19.5" customHeight="1">
      <c r="A87" s="107" t="s">
        <v>1</v>
      </c>
      <c r="B87" s="108" t="s">
        <v>409</v>
      </c>
      <c r="C87" s="108" t="s">
        <v>10</v>
      </c>
      <c r="D87" s="108" t="s">
        <v>8</v>
      </c>
      <c r="E87" s="109" t="s">
        <v>410</v>
      </c>
      <c r="F87" s="109" t="s">
        <v>16</v>
      </c>
      <c r="G87" s="85">
        <f>G88+G92+G98</f>
        <v>364554.1</v>
      </c>
      <c r="H87" s="35">
        <v>364693.70046</v>
      </c>
      <c r="I87" s="35">
        <v>3465.17254</v>
      </c>
    </row>
    <row r="88" spans="1:9" s="56" customFormat="1" ht="28.5">
      <c r="A88" s="74" t="s">
        <v>391</v>
      </c>
      <c r="B88" s="102" t="s">
        <v>409</v>
      </c>
      <c r="C88" s="102" t="s">
        <v>10</v>
      </c>
      <c r="D88" s="102" t="s">
        <v>8</v>
      </c>
      <c r="E88" s="103" t="s">
        <v>427</v>
      </c>
      <c r="F88" s="103" t="s">
        <v>16</v>
      </c>
      <c r="G88" s="61">
        <f>G89</f>
        <v>1830</v>
      </c>
      <c r="H88" s="35">
        <v>160</v>
      </c>
      <c r="I88" s="35">
        <v>160</v>
      </c>
    </row>
    <row r="89" spans="1:9" s="56" customFormat="1" ht="30">
      <c r="A89" s="99" t="s">
        <v>368</v>
      </c>
      <c r="B89" s="100" t="s">
        <v>409</v>
      </c>
      <c r="C89" s="100" t="s">
        <v>10</v>
      </c>
      <c r="D89" s="100" t="s">
        <v>8</v>
      </c>
      <c r="E89" s="101" t="s">
        <v>427</v>
      </c>
      <c r="F89" s="101" t="s">
        <v>83</v>
      </c>
      <c r="G89" s="35">
        <f>G90</f>
        <v>1830</v>
      </c>
      <c r="H89" s="35">
        <v>160</v>
      </c>
      <c r="I89" s="35">
        <v>160</v>
      </c>
    </row>
    <row r="90" spans="1:9" s="56" customFormat="1" ht="29.25" customHeight="1">
      <c r="A90" s="99" t="s">
        <v>369</v>
      </c>
      <c r="B90" s="100" t="s">
        <v>409</v>
      </c>
      <c r="C90" s="100" t="s">
        <v>10</v>
      </c>
      <c r="D90" s="100" t="s">
        <v>8</v>
      </c>
      <c r="E90" s="101" t="s">
        <v>427</v>
      </c>
      <c r="F90" s="101" t="s">
        <v>32</v>
      </c>
      <c r="G90" s="35">
        <f>G91</f>
        <v>1830</v>
      </c>
      <c r="H90" s="35">
        <v>60</v>
      </c>
      <c r="I90" s="35">
        <v>60</v>
      </c>
    </row>
    <row r="91" spans="1:9" s="56" customFormat="1" ht="15">
      <c r="A91" s="99" t="s">
        <v>370</v>
      </c>
      <c r="B91" s="100" t="s">
        <v>409</v>
      </c>
      <c r="C91" s="100" t="s">
        <v>10</v>
      </c>
      <c r="D91" s="100" t="s">
        <v>8</v>
      </c>
      <c r="E91" s="101" t="s">
        <v>427</v>
      </c>
      <c r="F91" s="101" t="s">
        <v>27</v>
      </c>
      <c r="G91" s="35">
        <f>1830000/1000</f>
        <v>1830</v>
      </c>
      <c r="H91" s="35">
        <v>60</v>
      </c>
      <c r="I91" s="35">
        <v>60</v>
      </c>
    </row>
    <row r="92" spans="1:9" s="56" customFormat="1" ht="42.75">
      <c r="A92" s="74" t="s">
        <v>456</v>
      </c>
      <c r="B92" s="102" t="s">
        <v>409</v>
      </c>
      <c r="C92" s="102" t="s">
        <v>10</v>
      </c>
      <c r="D92" s="102" t="s">
        <v>8</v>
      </c>
      <c r="E92" s="103" t="s">
        <v>428</v>
      </c>
      <c r="F92" s="103" t="s">
        <v>16</v>
      </c>
      <c r="G92" s="61">
        <f>G93</f>
        <v>360844.1</v>
      </c>
      <c r="H92" s="35">
        <v>500</v>
      </c>
      <c r="I92" s="35">
        <v>500</v>
      </c>
    </row>
    <row r="93" spans="1:9" s="56" customFormat="1" ht="30">
      <c r="A93" s="99" t="s">
        <v>98</v>
      </c>
      <c r="B93" s="100" t="s">
        <v>409</v>
      </c>
      <c r="C93" s="100" t="s">
        <v>10</v>
      </c>
      <c r="D93" s="100" t="s">
        <v>8</v>
      </c>
      <c r="E93" s="101" t="s">
        <v>428</v>
      </c>
      <c r="F93" s="101" t="s">
        <v>99</v>
      </c>
      <c r="G93" s="35">
        <f>G94</f>
        <v>360844.1</v>
      </c>
      <c r="H93" s="35">
        <v>500</v>
      </c>
      <c r="I93" s="35">
        <v>500</v>
      </c>
    </row>
    <row r="94" spans="1:9" s="56" customFormat="1" ht="39.75" customHeight="1">
      <c r="A94" s="99" t="s">
        <v>100</v>
      </c>
      <c r="B94" s="100" t="s">
        <v>409</v>
      </c>
      <c r="C94" s="100" t="s">
        <v>10</v>
      </c>
      <c r="D94" s="100" t="s">
        <v>8</v>
      </c>
      <c r="E94" s="101" t="s">
        <v>428</v>
      </c>
      <c r="F94" s="101" t="s">
        <v>101</v>
      </c>
      <c r="G94" s="35">
        <f>G95</f>
        <v>360844.1</v>
      </c>
      <c r="H94" s="35">
        <v>500</v>
      </c>
      <c r="I94" s="35">
        <v>500</v>
      </c>
    </row>
    <row r="95" spans="1:10" s="56" customFormat="1" ht="38.25" customHeight="1">
      <c r="A95" s="99" t="s">
        <v>462</v>
      </c>
      <c r="B95" s="100" t="s">
        <v>409</v>
      </c>
      <c r="C95" s="100" t="s">
        <v>10</v>
      </c>
      <c r="D95" s="100" t="s">
        <v>8</v>
      </c>
      <c r="E95" s="101" t="s">
        <v>428</v>
      </c>
      <c r="F95" s="101" t="s">
        <v>102</v>
      </c>
      <c r="G95" s="35">
        <f>SUM(G96:G97)</f>
        <v>360844.1</v>
      </c>
      <c r="H95" s="35">
        <v>0</v>
      </c>
      <c r="I95" s="35">
        <v>0</v>
      </c>
      <c r="J95" s="55"/>
    </row>
    <row r="96" spans="1:9" s="56" customFormat="1" ht="49.5" customHeight="1">
      <c r="A96" s="86" t="s">
        <v>292</v>
      </c>
      <c r="B96" s="87">
        <v>717</v>
      </c>
      <c r="C96" s="79" t="s">
        <v>10</v>
      </c>
      <c r="D96" s="79" t="s">
        <v>8</v>
      </c>
      <c r="E96" s="79" t="s">
        <v>331</v>
      </c>
      <c r="F96" s="79" t="s">
        <v>102</v>
      </c>
      <c r="G96" s="88">
        <f>360130800/1000</f>
        <v>360130.8</v>
      </c>
      <c r="H96" s="35"/>
      <c r="I96" s="35"/>
    </row>
    <row r="97" spans="1:9" s="56" customFormat="1" ht="51" customHeight="1">
      <c r="A97" s="86" t="s">
        <v>293</v>
      </c>
      <c r="B97" s="87">
        <v>717</v>
      </c>
      <c r="C97" s="79" t="s">
        <v>10</v>
      </c>
      <c r="D97" s="79" t="s">
        <v>8</v>
      </c>
      <c r="E97" s="79" t="s">
        <v>331</v>
      </c>
      <c r="F97" s="79" t="s">
        <v>102</v>
      </c>
      <c r="G97" s="88">
        <f>713300/1000</f>
        <v>713.3</v>
      </c>
      <c r="H97" s="35"/>
      <c r="I97" s="35"/>
    </row>
    <row r="98" spans="1:9" s="63" customFormat="1" ht="20.25" customHeight="1">
      <c r="A98" s="74" t="s">
        <v>389</v>
      </c>
      <c r="B98" s="102" t="s">
        <v>409</v>
      </c>
      <c r="C98" s="102" t="s">
        <v>10</v>
      </c>
      <c r="D98" s="102" t="s">
        <v>8</v>
      </c>
      <c r="E98" s="103" t="s">
        <v>425</v>
      </c>
      <c r="F98" s="103" t="s">
        <v>16</v>
      </c>
      <c r="G98" s="61">
        <f>G99</f>
        <v>1880</v>
      </c>
      <c r="H98" s="35">
        <v>300</v>
      </c>
      <c r="I98" s="35">
        <v>300</v>
      </c>
    </row>
    <row r="99" spans="1:9" s="56" customFormat="1" ht="30">
      <c r="A99" s="99" t="s">
        <v>368</v>
      </c>
      <c r="B99" s="100" t="s">
        <v>409</v>
      </c>
      <c r="C99" s="100" t="s">
        <v>10</v>
      </c>
      <c r="D99" s="100" t="s">
        <v>8</v>
      </c>
      <c r="E99" s="101" t="s">
        <v>425</v>
      </c>
      <c r="F99" s="101" t="s">
        <v>83</v>
      </c>
      <c r="G99" s="35">
        <f>G100</f>
        <v>1880</v>
      </c>
      <c r="H99" s="35">
        <v>300</v>
      </c>
      <c r="I99" s="35">
        <v>300</v>
      </c>
    </row>
    <row r="100" spans="1:9" s="56" customFormat="1" ht="45">
      <c r="A100" s="99" t="s">
        <v>369</v>
      </c>
      <c r="B100" s="100" t="s">
        <v>409</v>
      </c>
      <c r="C100" s="100" t="s">
        <v>10</v>
      </c>
      <c r="D100" s="100" t="s">
        <v>8</v>
      </c>
      <c r="E100" s="101" t="s">
        <v>425</v>
      </c>
      <c r="F100" s="101" t="s">
        <v>32</v>
      </c>
      <c r="G100" s="35">
        <f>SUM(G101:G101)</f>
        <v>1880</v>
      </c>
      <c r="H100" s="35">
        <v>100</v>
      </c>
      <c r="I100" s="35">
        <v>100</v>
      </c>
    </row>
    <row r="101" spans="1:9" s="56" customFormat="1" ht="15">
      <c r="A101" s="99" t="s">
        <v>370</v>
      </c>
      <c r="B101" s="100" t="s">
        <v>409</v>
      </c>
      <c r="C101" s="100" t="s">
        <v>10</v>
      </c>
      <c r="D101" s="100" t="s">
        <v>8</v>
      </c>
      <c r="E101" s="101" t="s">
        <v>425</v>
      </c>
      <c r="F101" s="101" t="s">
        <v>27</v>
      </c>
      <c r="G101" s="35">
        <f>1880000/1000</f>
        <v>1880</v>
      </c>
      <c r="H101" s="35">
        <v>100</v>
      </c>
      <c r="I101" s="35">
        <v>100</v>
      </c>
    </row>
    <row r="102" spans="1:9" s="56" customFormat="1" ht="15" customHeight="1">
      <c r="A102" s="107" t="s">
        <v>21</v>
      </c>
      <c r="B102" s="108" t="s">
        <v>409</v>
      </c>
      <c r="C102" s="108" t="s">
        <v>10</v>
      </c>
      <c r="D102" s="108" t="s">
        <v>11</v>
      </c>
      <c r="E102" s="109" t="s">
        <v>410</v>
      </c>
      <c r="F102" s="109" t="s">
        <v>16</v>
      </c>
      <c r="G102" s="85">
        <f>G103+G109+G114</f>
        <v>18138.196</v>
      </c>
      <c r="H102" s="35">
        <v>2992</v>
      </c>
      <c r="I102" s="35">
        <v>2992</v>
      </c>
    </row>
    <row r="103" spans="1:9" s="56" customFormat="1" ht="28.5">
      <c r="A103" s="74" t="s">
        <v>392</v>
      </c>
      <c r="B103" s="102" t="s">
        <v>409</v>
      </c>
      <c r="C103" s="102" t="s">
        <v>10</v>
      </c>
      <c r="D103" s="102" t="s">
        <v>11</v>
      </c>
      <c r="E103" s="103" t="s">
        <v>429</v>
      </c>
      <c r="F103" s="103" t="s">
        <v>16</v>
      </c>
      <c r="G103" s="61">
        <f>G104+G107</f>
        <v>4675.54</v>
      </c>
      <c r="H103" s="35">
        <v>1000</v>
      </c>
      <c r="I103" s="35">
        <v>1000</v>
      </c>
    </row>
    <row r="104" spans="1:9" s="56" customFormat="1" ht="30">
      <c r="A104" s="99" t="s">
        <v>368</v>
      </c>
      <c r="B104" s="100" t="s">
        <v>409</v>
      </c>
      <c r="C104" s="100" t="s">
        <v>10</v>
      </c>
      <c r="D104" s="100" t="s">
        <v>11</v>
      </c>
      <c r="E104" s="101" t="s">
        <v>429</v>
      </c>
      <c r="F104" s="101" t="s">
        <v>83</v>
      </c>
      <c r="G104" s="35">
        <f>G105</f>
        <v>800</v>
      </c>
      <c r="H104" s="35">
        <v>1800</v>
      </c>
      <c r="I104" s="35">
        <v>1800</v>
      </c>
    </row>
    <row r="105" spans="1:9" s="56" customFormat="1" ht="45">
      <c r="A105" s="99" t="s">
        <v>369</v>
      </c>
      <c r="B105" s="100" t="s">
        <v>409</v>
      </c>
      <c r="C105" s="100" t="s">
        <v>10</v>
      </c>
      <c r="D105" s="100" t="s">
        <v>11</v>
      </c>
      <c r="E105" s="101" t="s">
        <v>429</v>
      </c>
      <c r="F105" s="101" t="s">
        <v>32</v>
      </c>
      <c r="G105" s="35">
        <f>G106</f>
        <v>800</v>
      </c>
      <c r="H105" s="35">
        <v>150</v>
      </c>
      <c r="I105" s="35">
        <v>150</v>
      </c>
    </row>
    <row r="106" spans="1:9" s="56" customFormat="1" ht="15">
      <c r="A106" s="99" t="s">
        <v>370</v>
      </c>
      <c r="B106" s="100" t="s">
        <v>409</v>
      </c>
      <c r="C106" s="100" t="s">
        <v>10</v>
      </c>
      <c r="D106" s="100" t="s">
        <v>11</v>
      </c>
      <c r="E106" s="101" t="s">
        <v>429</v>
      </c>
      <c r="F106" s="101" t="s">
        <v>27</v>
      </c>
      <c r="G106" s="35">
        <f>800000/1000</f>
        <v>800</v>
      </c>
      <c r="H106" s="35">
        <v>50</v>
      </c>
      <c r="I106" s="35">
        <v>50</v>
      </c>
    </row>
    <row r="107" spans="1:9" s="56" customFormat="1" ht="30">
      <c r="A107" s="99" t="s">
        <v>98</v>
      </c>
      <c r="B107" s="100" t="s">
        <v>409</v>
      </c>
      <c r="C107" s="100" t="s">
        <v>10</v>
      </c>
      <c r="D107" s="100" t="s">
        <v>11</v>
      </c>
      <c r="E107" s="101" t="s">
        <v>429</v>
      </c>
      <c r="F107" s="101" t="s">
        <v>99</v>
      </c>
      <c r="G107" s="35">
        <f>G108</f>
        <v>3875.54</v>
      </c>
      <c r="H107" s="35">
        <v>0</v>
      </c>
      <c r="I107" s="35">
        <v>0</v>
      </c>
    </row>
    <row r="108" spans="1:9" s="56" customFormat="1" ht="35.25" customHeight="1">
      <c r="A108" s="99" t="s">
        <v>462</v>
      </c>
      <c r="B108" s="100" t="s">
        <v>409</v>
      </c>
      <c r="C108" s="100" t="s">
        <v>10</v>
      </c>
      <c r="D108" s="100" t="s">
        <v>11</v>
      </c>
      <c r="E108" s="101" t="s">
        <v>429</v>
      </c>
      <c r="F108" s="101" t="s">
        <v>102</v>
      </c>
      <c r="G108" s="35">
        <f>3875540/1000</f>
        <v>3875.54</v>
      </c>
      <c r="H108" s="35">
        <v>0</v>
      </c>
      <c r="I108" s="35">
        <v>0</v>
      </c>
    </row>
    <row r="109" spans="1:9" s="56" customFormat="1" ht="16.5" customHeight="1">
      <c r="A109" s="74" t="s">
        <v>393</v>
      </c>
      <c r="B109" s="102" t="s">
        <v>409</v>
      </c>
      <c r="C109" s="102" t="s">
        <v>10</v>
      </c>
      <c r="D109" s="102" t="s">
        <v>11</v>
      </c>
      <c r="E109" s="103" t="s">
        <v>430</v>
      </c>
      <c r="F109" s="103" t="s">
        <v>16</v>
      </c>
      <c r="G109" s="61">
        <f>G110</f>
        <v>3430</v>
      </c>
      <c r="H109" s="35">
        <v>32</v>
      </c>
      <c r="I109" s="35">
        <v>32</v>
      </c>
    </row>
    <row r="110" spans="1:9" s="56" customFormat="1" ht="24.75" customHeight="1">
      <c r="A110" s="99" t="s">
        <v>368</v>
      </c>
      <c r="B110" s="100" t="s">
        <v>409</v>
      </c>
      <c r="C110" s="100" t="s">
        <v>10</v>
      </c>
      <c r="D110" s="100" t="s">
        <v>11</v>
      </c>
      <c r="E110" s="101" t="s">
        <v>430</v>
      </c>
      <c r="F110" s="101" t="s">
        <v>83</v>
      </c>
      <c r="G110" s="35">
        <f>G111</f>
        <v>3430</v>
      </c>
      <c r="H110" s="35"/>
      <c r="I110" s="35"/>
    </row>
    <row r="111" spans="1:9" s="56" customFormat="1" ht="30" customHeight="1">
      <c r="A111" s="99" t="s">
        <v>369</v>
      </c>
      <c r="B111" s="100" t="s">
        <v>409</v>
      </c>
      <c r="C111" s="100" t="s">
        <v>10</v>
      </c>
      <c r="D111" s="100" t="s">
        <v>11</v>
      </c>
      <c r="E111" s="101" t="s">
        <v>430</v>
      </c>
      <c r="F111" s="101" t="s">
        <v>32</v>
      </c>
      <c r="G111" s="35">
        <f>SUM(G112:G113)</f>
        <v>3430</v>
      </c>
      <c r="H111" s="35">
        <v>0</v>
      </c>
      <c r="I111" s="35">
        <v>0</v>
      </c>
    </row>
    <row r="112" spans="1:9" s="63" customFormat="1" ht="15">
      <c r="A112" s="99" t="s">
        <v>370</v>
      </c>
      <c r="B112" s="100" t="s">
        <v>409</v>
      </c>
      <c r="C112" s="100" t="s">
        <v>10</v>
      </c>
      <c r="D112" s="100" t="s">
        <v>11</v>
      </c>
      <c r="E112" s="101" t="s">
        <v>430</v>
      </c>
      <c r="F112" s="101" t="s">
        <v>27</v>
      </c>
      <c r="G112" s="35">
        <f>1000000/1000</f>
        <v>1000</v>
      </c>
      <c r="H112" s="35">
        <v>10</v>
      </c>
      <c r="I112" s="35">
        <v>10</v>
      </c>
    </row>
    <row r="113" spans="1:9" s="63" customFormat="1" ht="15">
      <c r="A113" s="99" t="s">
        <v>371</v>
      </c>
      <c r="B113" s="100" t="s">
        <v>409</v>
      </c>
      <c r="C113" s="100" t="s">
        <v>10</v>
      </c>
      <c r="D113" s="100" t="s">
        <v>11</v>
      </c>
      <c r="E113" s="101" t="s">
        <v>430</v>
      </c>
      <c r="F113" s="101" t="s">
        <v>87</v>
      </c>
      <c r="G113" s="35">
        <f>2430000/1000</f>
        <v>2430</v>
      </c>
      <c r="H113" s="35"/>
      <c r="I113" s="35"/>
    </row>
    <row r="114" spans="1:9" s="56" customFormat="1" ht="28.5">
      <c r="A114" s="74" t="s">
        <v>394</v>
      </c>
      <c r="B114" s="102" t="s">
        <v>409</v>
      </c>
      <c r="C114" s="102" t="s">
        <v>10</v>
      </c>
      <c r="D114" s="102" t="s">
        <v>11</v>
      </c>
      <c r="E114" s="103" t="s">
        <v>431</v>
      </c>
      <c r="F114" s="103" t="s">
        <v>16</v>
      </c>
      <c r="G114" s="61">
        <f>G115</f>
        <v>10032.656</v>
      </c>
      <c r="H114" s="35">
        <v>0</v>
      </c>
      <c r="I114" s="35">
        <v>0</v>
      </c>
    </row>
    <row r="115" spans="1:9" s="56" customFormat="1" ht="30">
      <c r="A115" s="99" t="s">
        <v>368</v>
      </c>
      <c r="B115" s="100" t="s">
        <v>409</v>
      </c>
      <c r="C115" s="100" t="s">
        <v>10</v>
      </c>
      <c r="D115" s="100" t="s">
        <v>11</v>
      </c>
      <c r="E115" s="101" t="s">
        <v>431</v>
      </c>
      <c r="F115" s="101" t="s">
        <v>83</v>
      </c>
      <c r="G115" s="35">
        <f>G116</f>
        <v>10032.656</v>
      </c>
      <c r="H115" s="35">
        <v>0</v>
      </c>
      <c r="I115" s="35">
        <v>0</v>
      </c>
    </row>
    <row r="116" spans="1:9" s="56" customFormat="1" ht="45">
      <c r="A116" s="99" t="s">
        <v>369</v>
      </c>
      <c r="B116" s="100" t="s">
        <v>409</v>
      </c>
      <c r="C116" s="100" t="s">
        <v>10</v>
      </c>
      <c r="D116" s="100" t="s">
        <v>11</v>
      </c>
      <c r="E116" s="101" t="s">
        <v>431</v>
      </c>
      <c r="F116" s="101" t="s">
        <v>32</v>
      </c>
      <c r="G116" s="35">
        <f>G117</f>
        <v>10032.656</v>
      </c>
      <c r="H116" s="35">
        <v>0</v>
      </c>
      <c r="I116" s="35">
        <v>0</v>
      </c>
    </row>
    <row r="117" spans="1:9" s="56" customFormat="1" ht="17.25" customHeight="1">
      <c r="A117" s="99" t="s">
        <v>370</v>
      </c>
      <c r="B117" s="100" t="s">
        <v>409</v>
      </c>
      <c r="C117" s="100" t="s">
        <v>10</v>
      </c>
      <c r="D117" s="100" t="s">
        <v>11</v>
      </c>
      <c r="E117" s="101" t="s">
        <v>431</v>
      </c>
      <c r="F117" s="101" t="s">
        <v>27</v>
      </c>
      <c r="G117" s="35">
        <f>10032656/1000</f>
        <v>10032.656</v>
      </c>
      <c r="H117" s="35">
        <v>0</v>
      </c>
      <c r="I117" s="35">
        <v>0</v>
      </c>
    </row>
    <row r="118" spans="1:9" s="56" customFormat="1" ht="24.75" customHeight="1">
      <c r="A118" s="107" t="s">
        <v>299</v>
      </c>
      <c r="B118" s="108" t="s">
        <v>409</v>
      </c>
      <c r="C118" s="108" t="s">
        <v>10</v>
      </c>
      <c r="D118" s="108" t="s">
        <v>10</v>
      </c>
      <c r="E118" s="109" t="s">
        <v>410</v>
      </c>
      <c r="F118" s="109" t="s">
        <v>16</v>
      </c>
      <c r="G118" s="85">
        <f>G119+G128+G133</f>
        <v>16792.2</v>
      </c>
      <c r="H118" s="35">
        <v>16761.975199999997</v>
      </c>
      <c r="I118" s="35">
        <v>16761.975199999997</v>
      </c>
    </row>
    <row r="119" spans="1:9" s="56" customFormat="1" ht="42.75">
      <c r="A119" s="74" t="s">
        <v>380</v>
      </c>
      <c r="B119" s="102" t="s">
        <v>409</v>
      </c>
      <c r="C119" s="102" t="s">
        <v>10</v>
      </c>
      <c r="D119" s="102" t="s">
        <v>10</v>
      </c>
      <c r="E119" s="103" t="s">
        <v>417</v>
      </c>
      <c r="F119" s="103" t="s">
        <v>16</v>
      </c>
      <c r="G119" s="61">
        <f>G120+G124</f>
        <v>16132.2</v>
      </c>
      <c r="H119" s="35">
        <v>16101.975199999997</v>
      </c>
      <c r="I119" s="35">
        <v>16101.975199999997</v>
      </c>
    </row>
    <row r="120" spans="1:9" s="56" customFormat="1" ht="75">
      <c r="A120" s="99" t="s">
        <v>364</v>
      </c>
      <c r="B120" s="100" t="s">
        <v>409</v>
      </c>
      <c r="C120" s="100" t="s">
        <v>10</v>
      </c>
      <c r="D120" s="100" t="s">
        <v>10</v>
      </c>
      <c r="E120" s="101" t="s">
        <v>417</v>
      </c>
      <c r="F120" s="101" t="s">
        <v>411</v>
      </c>
      <c r="G120" s="35">
        <f>G121</f>
        <v>13112.2</v>
      </c>
      <c r="H120" s="35">
        <v>13081.975199999997</v>
      </c>
      <c r="I120" s="35">
        <v>13081.975199999997</v>
      </c>
    </row>
    <row r="121" spans="1:9" s="56" customFormat="1" ht="30">
      <c r="A121" s="99" t="s">
        <v>395</v>
      </c>
      <c r="B121" s="100" t="s">
        <v>409</v>
      </c>
      <c r="C121" s="100" t="s">
        <v>10</v>
      </c>
      <c r="D121" s="100" t="s">
        <v>10</v>
      </c>
      <c r="E121" s="101" t="s">
        <v>417</v>
      </c>
      <c r="F121" s="101" t="s">
        <v>54</v>
      </c>
      <c r="G121" s="35">
        <f>SUM(G122:G123)</f>
        <v>13112.2</v>
      </c>
      <c r="H121" s="35">
        <v>10047.599999999999</v>
      </c>
      <c r="I121" s="35">
        <v>10047.599999999999</v>
      </c>
    </row>
    <row r="122" spans="1:9" s="56" customFormat="1" ht="15.75" customHeight="1">
      <c r="A122" s="99" t="s">
        <v>396</v>
      </c>
      <c r="B122" s="100" t="s">
        <v>409</v>
      </c>
      <c r="C122" s="100" t="s">
        <v>10</v>
      </c>
      <c r="D122" s="100" t="s">
        <v>10</v>
      </c>
      <c r="E122" s="101" t="s">
        <v>417</v>
      </c>
      <c r="F122" s="101" t="s">
        <v>31</v>
      </c>
      <c r="G122" s="35">
        <f>10047600/1000</f>
        <v>10047.6</v>
      </c>
      <c r="H122" s="35">
        <v>3034.3751999999995</v>
      </c>
      <c r="I122" s="35">
        <v>3034.3751999999995</v>
      </c>
    </row>
    <row r="123" spans="1:9" s="56" customFormat="1" ht="45">
      <c r="A123" s="99" t="s">
        <v>397</v>
      </c>
      <c r="B123" s="100" t="s">
        <v>409</v>
      </c>
      <c r="C123" s="100" t="s">
        <v>10</v>
      </c>
      <c r="D123" s="100" t="s">
        <v>10</v>
      </c>
      <c r="E123" s="101" t="s">
        <v>417</v>
      </c>
      <c r="F123" s="101" t="s">
        <v>53</v>
      </c>
      <c r="G123" s="35">
        <f>3064600/1000</f>
        <v>3064.6</v>
      </c>
      <c r="H123" s="35">
        <v>3020</v>
      </c>
      <c r="I123" s="35">
        <v>3020</v>
      </c>
    </row>
    <row r="124" spans="1:9" s="56" customFormat="1" ht="30">
      <c r="A124" s="99" t="s">
        <v>368</v>
      </c>
      <c r="B124" s="100" t="s">
        <v>409</v>
      </c>
      <c r="C124" s="100" t="s">
        <v>10</v>
      </c>
      <c r="D124" s="100" t="s">
        <v>10</v>
      </c>
      <c r="E124" s="101" t="s">
        <v>417</v>
      </c>
      <c r="F124" s="101" t="s">
        <v>83</v>
      </c>
      <c r="G124" s="35">
        <f>G125</f>
        <v>3020</v>
      </c>
      <c r="H124" s="35">
        <v>3020</v>
      </c>
      <c r="I124" s="35">
        <v>3020</v>
      </c>
    </row>
    <row r="125" spans="1:9" s="56" customFormat="1" ht="45">
      <c r="A125" s="99" t="s">
        <v>369</v>
      </c>
      <c r="B125" s="100" t="s">
        <v>409</v>
      </c>
      <c r="C125" s="100" t="s">
        <v>10</v>
      </c>
      <c r="D125" s="100" t="s">
        <v>10</v>
      </c>
      <c r="E125" s="101" t="s">
        <v>417</v>
      </c>
      <c r="F125" s="101" t="s">
        <v>32</v>
      </c>
      <c r="G125" s="35">
        <f>SUM(G126:G127)</f>
        <v>3020</v>
      </c>
      <c r="H125" s="35">
        <v>3000</v>
      </c>
      <c r="I125" s="35">
        <v>3000</v>
      </c>
    </row>
    <row r="126" spans="1:9" s="56" customFormat="1" ht="15">
      <c r="A126" s="99" t="s">
        <v>370</v>
      </c>
      <c r="B126" s="100" t="s">
        <v>409</v>
      </c>
      <c r="C126" s="100" t="s">
        <v>10</v>
      </c>
      <c r="D126" s="100" t="s">
        <v>10</v>
      </c>
      <c r="E126" s="101" t="s">
        <v>417</v>
      </c>
      <c r="F126" s="101" t="s">
        <v>27</v>
      </c>
      <c r="G126" s="35">
        <f>3000000/1000</f>
        <v>3000</v>
      </c>
      <c r="H126" s="35">
        <v>20</v>
      </c>
      <c r="I126" s="35">
        <v>20</v>
      </c>
    </row>
    <row r="127" spans="1:9" s="56" customFormat="1" ht="15.75" customHeight="1">
      <c r="A127" s="99" t="s">
        <v>371</v>
      </c>
      <c r="B127" s="100" t="s">
        <v>409</v>
      </c>
      <c r="C127" s="100" t="s">
        <v>10</v>
      </c>
      <c r="D127" s="100" t="s">
        <v>10</v>
      </c>
      <c r="E127" s="101" t="s">
        <v>417</v>
      </c>
      <c r="F127" s="101" t="s">
        <v>87</v>
      </c>
      <c r="G127" s="35">
        <f>20000/1000</f>
        <v>20</v>
      </c>
      <c r="H127" s="35">
        <v>440</v>
      </c>
      <c r="I127" s="35">
        <v>440</v>
      </c>
    </row>
    <row r="128" spans="1:9" s="56" customFormat="1" ht="28.5">
      <c r="A128" s="74" t="s">
        <v>381</v>
      </c>
      <c r="B128" s="102" t="s">
        <v>409</v>
      </c>
      <c r="C128" s="102" t="s">
        <v>10</v>
      </c>
      <c r="D128" s="102" t="s">
        <v>10</v>
      </c>
      <c r="E128" s="103" t="s">
        <v>418</v>
      </c>
      <c r="F128" s="103" t="s">
        <v>16</v>
      </c>
      <c r="G128" s="61">
        <f>G129</f>
        <v>440</v>
      </c>
      <c r="H128" s="35">
        <v>440</v>
      </c>
      <c r="I128" s="35">
        <v>440</v>
      </c>
    </row>
    <row r="129" spans="1:9" s="56" customFormat="1" ht="30">
      <c r="A129" s="99" t="s">
        <v>368</v>
      </c>
      <c r="B129" s="100" t="s">
        <v>409</v>
      </c>
      <c r="C129" s="100" t="s">
        <v>10</v>
      </c>
      <c r="D129" s="100" t="s">
        <v>10</v>
      </c>
      <c r="E129" s="101" t="s">
        <v>418</v>
      </c>
      <c r="F129" s="101" t="s">
        <v>83</v>
      </c>
      <c r="G129" s="35">
        <f>G130</f>
        <v>440</v>
      </c>
      <c r="H129" s="35">
        <v>440</v>
      </c>
      <c r="I129" s="35">
        <v>440</v>
      </c>
    </row>
    <row r="130" spans="1:9" s="56" customFormat="1" ht="45">
      <c r="A130" s="99" t="s">
        <v>369</v>
      </c>
      <c r="B130" s="100" t="s">
        <v>409</v>
      </c>
      <c r="C130" s="100" t="s">
        <v>10</v>
      </c>
      <c r="D130" s="100" t="s">
        <v>10</v>
      </c>
      <c r="E130" s="101" t="s">
        <v>418</v>
      </c>
      <c r="F130" s="101" t="s">
        <v>32</v>
      </c>
      <c r="G130" s="35">
        <f>SUM(G131:G132)</f>
        <v>440</v>
      </c>
      <c r="H130" s="35">
        <v>140</v>
      </c>
      <c r="I130" s="35">
        <v>140</v>
      </c>
    </row>
    <row r="131" spans="1:9" s="56" customFormat="1" ht="13.5" customHeight="1">
      <c r="A131" s="99" t="s">
        <v>370</v>
      </c>
      <c r="B131" s="100" t="s">
        <v>409</v>
      </c>
      <c r="C131" s="100" t="s">
        <v>10</v>
      </c>
      <c r="D131" s="100" t="s">
        <v>10</v>
      </c>
      <c r="E131" s="101" t="s">
        <v>418</v>
      </c>
      <c r="F131" s="101" t="s">
        <v>27</v>
      </c>
      <c r="G131" s="35">
        <f>140000/1000</f>
        <v>140</v>
      </c>
      <c r="H131" s="35">
        <v>300</v>
      </c>
      <c r="I131" s="35">
        <v>300</v>
      </c>
    </row>
    <row r="132" spans="1:9" s="56" customFormat="1" ht="15">
      <c r="A132" s="99" t="s">
        <v>371</v>
      </c>
      <c r="B132" s="100" t="s">
        <v>409</v>
      </c>
      <c r="C132" s="100" t="s">
        <v>10</v>
      </c>
      <c r="D132" s="100" t="s">
        <v>10</v>
      </c>
      <c r="E132" s="101" t="s">
        <v>418</v>
      </c>
      <c r="F132" s="101" t="s">
        <v>87</v>
      </c>
      <c r="G132" s="35">
        <f>300000/1000</f>
        <v>300</v>
      </c>
      <c r="H132" s="35">
        <v>0</v>
      </c>
      <c r="I132" s="35">
        <v>0</v>
      </c>
    </row>
    <row r="133" spans="1:9" s="56" customFormat="1" ht="28.5">
      <c r="A133" s="74" t="s">
        <v>383</v>
      </c>
      <c r="B133" s="102" t="s">
        <v>409</v>
      </c>
      <c r="C133" s="102" t="s">
        <v>10</v>
      </c>
      <c r="D133" s="102" t="s">
        <v>10</v>
      </c>
      <c r="E133" s="103" t="s">
        <v>419</v>
      </c>
      <c r="F133" s="103" t="s">
        <v>16</v>
      </c>
      <c r="G133" s="61">
        <f>G134</f>
        <v>220</v>
      </c>
      <c r="H133" s="35">
        <v>220</v>
      </c>
      <c r="I133" s="35">
        <v>220</v>
      </c>
    </row>
    <row r="134" spans="1:9" s="56" customFormat="1" ht="30">
      <c r="A134" s="99" t="s">
        <v>368</v>
      </c>
      <c r="B134" s="100" t="s">
        <v>409</v>
      </c>
      <c r="C134" s="100" t="s">
        <v>10</v>
      </c>
      <c r="D134" s="100" t="s">
        <v>10</v>
      </c>
      <c r="E134" s="101" t="s">
        <v>419</v>
      </c>
      <c r="F134" s="101" t="s">
        <v>83</v>
      </c>
      <c r="G134" s="35">
        <f>G135</f>
        <v>220</v>
      </c>
      <c r="H134" s="35">
        <v>220</v>
      </c>
      <c r="I134" s="35">
        <v>220</v>
      </c>
    </row>
    <row r="135" spans="1:9" s="63" customFormat="1" ht="45">
      <c r="A135" s="99" t="s">
        <v>369</v>
      </c>
      <c r="B135" s="100" t="s">
        <v>409</v>
      </c>
      <c r="C135" s="100" t="s">
        <v>10</v>
      </c>
      <c r="D135" s="100" t="s">
        <v>10</v>
      </c>
      <c r="E135" s="101" t="s">
        <v>419</v>
      </c>
      <c r="F135" s="101" t="s">
        <v>32</v>
      </c>
      <c r="G135" s="35">
        <f>G136</f>
        <v>220</v>
      </c>
      <c r="H135" s="61">
        <v>1136.7391304347827</v>
      </c>
      <c r="I135" s="61">
        <v>6337.826086956522</v>
      </c>
    </row>
    <row r="136" spans="1:9" s="56" customFormat="1" ht="27.75" customHeight="1">
      <c r="A136" s="99" t="s">
        <v>370</v>
      </c>
      <c r="B136" s="100" t="s">
        <v>409</v>
      </c>
      <c r="C136" s="100" t="s">
        <v>10</v>
      </c>
      <c r="D136" s="100" t="s">
        <v>10</v>
      </c>
      <c r="E136" s="101" t="s">
        <v>419</v>
      </c>
      <c r="F136" s="101" t="s">
        <v>27</v>
      </c>
      <c r="G136" s="35">
        <f>220000/1000</f>
        <v>220</v>
      </c>
      <c r="H136" s="35">
        <v>1136.7391304347827</v>
      </c>
      <c r="I136" s="35">
        <v>6337.826086956522</v>
      </c>
    </row>
    <row r="137" spans="1:9" s="63" customFormat="1" ht="28.5">
      <c r="A137" s="104" t="s">
        <v>72</v>
      </c>
      <c r="B137" s="105" t="s">
        <v>409</v>
      </c>
      <c r="C137" s="105" t="s">
        <v>22</v>
      </c>
      <c r="D137" s="105" t="s">
        <v>3</v>
      </c>
      <c r="E137" s="106" t="s">
        <v>410</v>
      </c>
      <c r="F137" s="106" t="s">
        <v>16</v>
      </c>
      <c r="G137" s="82">
        <f>G138+G142</f>
        <v>250</v>
      </c>
      <c r="H137" s="35">
        <v>250</v>
      </c>
      <c r="I137" s="35">
        <v>250</v>
      </c>
    </row>
    <row r="138" spans="1:9" s="56" customFormat="1" ht="28.5">
      <c r="A138" s="74" t="s">
        <v>363</v>
      </c>
      <c r="B138" s="102" t="s">
        <v>409</v>
      </c>
      <c r="C138" s="102" t="s">
        <v>22</v>
      </c>
      <c r="D138" s="102" t="s">
        <v>10</v>
      </c>
      <c r="E138" s="103" t="s">
        <v>413</v>
      </c>
      <c r="F138" s="103" t="s">
        <v>16</v>
      </c>
      <c r="G138" s="61">
        <f>G139</f>
        <v>150</v>
      </c>
      <c r="H138" s="35">
        <v>150</v>
      </c>
      <c r="I138" s="35">
        <v>150</v>
      </c>
    </row>
    <row r="139" spans="1:9" s="56" customFormat="1" ht="30">
      <c r="A139" s="99" t="s">
        <v>368</v>
      </c>
      <c r="B139" s="100" t="s">
        <v>409</v>
      </c>
      <c r="C139" s="100" t="s">
        <v>22</v>
      </c>
      <c r="D139" s="100" t="s">
        <v>10</v>
      </c>
      <c r="E139" s="101" t="s">
        <v>413</v>
      </c>
      <c r="F139" s="101" t="s">
        <v>83</v>
      </c>
      <c r="G139" s="35">
        <f>G140</f>
        <v>150</v>
      </c>
      <c r="H139" s="35">
        <v>150</v>
      </c>
      <c r="I139" s="35">
        <v>150</v>
      </c>
    </row>
    <row r="140" spans="1:9" s="56" customFormat="1" ht="27.75" customHeight="1">
      <c r="A140" s="99" t="s">
        <v>369</v>
      </c>
      <c r="B140" s="100" t="s">
        <v>409</v>
      </c>
      <c r="C140" s="100" t="s">
        <v>22</v>
      </c>
      <c r="D140" s="100" t="s">
        <v>10</v>
      </c>
      <c r="E140" s="101" t="s">
        <v>413</v>
      </c>
      <c r="F140" s="101" t="s">
        <v>32</v>
      </c>
      <c r="G140" s="35">
        <f>G141</f>
        <v>150</v>
      </c>
      <c r="H140" s="35">
        <v>150</v>
      </c>
      <c r="I140" s="35">
        <v>150</v>
      </c>
    </row>
    <row r="141" spans="1:9" s="56" customFormat="1" ht="15">
      <c r="A141" s="99" t="s">
        <v>370</v>
      </c>
      <c r="B141" s="100" t="s">
        <v>409</v>
      </c>
      <c r="C141" s="100" t="s">
        <v>22</v>
      </c>
      <c r="D141" s="100" t="s">
        <v>10</v>
      </c>
      <c r="E141" s="101" t="s">
        <v>413</v>
      </c>
      <c r="F141" s="101" t="s">
        <v>27</v>
      </c>
      <c r="G141" s="35">
        <f>150000/1000</f>
        <v>150</v>
      </c>
      <c r="H141" s="35">
        <v>100</v>
      </c>
      <c r="I141" s="35">
        <v>100</v>
      </c>
    </row>
    <row r="142" spans="1:9" s="56" customFormat="1" ht="28.5">
      <c r="A142" s="74" t="s">
        <v>399</v>
      </c>
      <c r="B142" s="102" t="s">
        <v>409</v>
      </c>
      <c r="C142" s="102" t="s">
        <v>22</v>
      </c>
      <c r="D142" s="102" t="s">
        <v>22</v>
      </c>
      <c r="E142" s="103" t="s">
        <v>433</v>
      </c>
      <c r="F142" s="103" t="s">
        <v>16</v>
      </c>
      <c r="G142" s="61">
        <f>G143</f>
        <v>100</v>
      </c>
      <c r="H142" s="35">
        <v>50</v>
      </c>
      <c r="I142" s="35">
        <v>50</v>
      </c>
    </row>
    <row r="143" spans="1:9" s="56" customFormat="1" ht="30">
      <c r="A143" s="99" t="s">
        <v>368</v>
      </c>
      <c r="B143" s="100" t="s">
        <v>409</v>
      </c>
      <c r="C143" s="100" t="s">
        <v>22</v>
      </c>
      <c r="D143" s="100" t="s">
        <v>22</v>
      </c>
      <c r="E143" s="101" t="s">
        <v>433</v>
      </c>
      <c r="F143" s="101" t="s">
        <v>83</v>
      </c>
      <c r="G143" s="35">
        <f>G144</f>
        <v>100</v>
      </c>
      <c r="H143" s="35">
        <v>100</v>
      </c>
      <c r="I143" s="35">
        <v>100</v>
      </c>
    </row>
    <row r="144" spans="1:9" s="56" customFormat="1" ht="45">
      <c r="A144" s="99" t="s">
        <v>369</v>
      </c>
      <c r="B144" s="100" t="s">
        <v>409</v>
      </c>
      <c r="C144" s="100" t="s">
        <v>22</v>
      </c>
      <c r="D144" s="100" t="s">
        <v>22</v>
      </c>
      <c r="E144" s="101" t="s">
        <v>433</v>
      </c>
      <c r="F144" s="101" t="s">
        <v>32</v>
      </c>
      <c r="G144" s="35">
        <f>G145</f>
        <v>100</v>
      </c>
      <c r="H144" s="35">
        <v>100</v>
      </c>
      <c r="I144" s="35">
        <v>100</v>
      </c>
    </row>
    <row r="145" spans="1:9" s="56" customFormat="1" ht="15">
      <c r="A145" s="99" t="s">
        <v>370</v>
      </c>
      <c r="B145" s="100" t="s">
        <v>409</v>
      </c>
      <c r="C145" s="100" t="s">
        <v>22</v>
      </c>
      <c r="D145" s="100" t="s">
        <v>22</v>
      </c>
      <c r="E145" s="101" t="s">
        <v>433</v>
      </c>
      <c r="F145" s="101" t="s">
        <v>27</v>
      </c>
      <c r="G145" s="35">
        <f>100000/1000</f>
        <v>100</v>
      </c>
      <c r="H145" s="35">
        <v>100</v>
      </c>
      <c r="I145" s="35">
        <v>100</v>
      </c>
    </row>
    <row r="146" spans="1:9" s="56" customFormat="1" ht="28.5">
      <c r="A146" s="104" t="s">
        <v>275</v>
      </c>
      <c r="B146" s="105" t="s">
        <v>409</v>
      </c>
      <c r="C146" s="105" t="s">
        <v>9</v>
      </c>
      <c r="D146" s="105" t="s">
        <v>3</v>
      </c>
      <c r="E146" s="106" t="s">
        <v>410</v>
      </c>
      <c r="F146" s="106" t="s">
        <v>16</v>
      </c>
      <c r="G146" s="82">
        <f>G147+G151</f>
        <v>19497.18</v>
      </c>
      <c r="H146" s="35">
        <v>100</v>
      </c>
      <c r="I146" s="35">
        <v>100</v>
      </c>
    </row>
    <row r="147" spans="1:9" s="56" customFormat="1" ht="28.5">
      <c r="A147" s="74" t="s">
        <v>400</v>
      </c>
      <c r="B147" s="102" t="s">
        <v>409</v>
      </c>
      <c r="C147" s="102" t="s">
        <v>9</v>
      </c>
      <c r="D147" s="102" t="s">
        <v>6</v>
      </c>
      <c r="E147" s="103" t="s">
        <v>434</v>
      </c>
      <c r="F147" s="103" t="s">
        <v>16</v>
      </c>
      <c r="G147" s="61">
        <f>G148</f>
        <v>200</v>
      </c>
      <c r="H147" s="35">
        <v>19497.175</v>
      </c>
      <c r="I147" s="35">
        <v>19497.175</v>
      </c>
    </row>
    <row r="148" spans="1:9" s="56" customFormat="1" ht="30">
      <c r="A148" s="99" t="s">
        <v>368</v>
      </c>
      <c r="B148" s="100" t="s">
        <v>409</v>
      </c>
      <c r="C148" s="100" t="s">
        <v>9</v>
      </c>
      <c r="D148" s="100" t="s">
        <v>6</v>
      </c>
      <c r="E148" s="101" t="s">
        <v>434</v>
      </c>
      <c r="F148" s="101" t="s">
        <v>83</v>
      </c>
      <c r="G148" s="35">
        <f>G149</f>
        <v>200</v>
      </c>
      <c r="H148" s="35">
        <v>19497.175</v>
      </c>
      <c r="I148" s="35">
        <v>19497.175</v>
      </c>
    </row>
    <row r="149" spans="1:9" s="56" customFormat="1" ht="45">
      <c r="A149" s="99" t="s">
        <v>369</v>
      </c>
      <c r="B149" s="100" t="s">
        <v>409</v>
      </c>
      <c r="C149" s="100" t="s">
        <v>9</v>
      </c>
      <c r="D149" s="100" t="s">
        <v>6</v>
      </c>
      <c r="E149" s="101" t="s">
        <v>434</v>
      </c>
      <c r="F149" s="101" t="s">
        <v>32</v>
      </c>
      <c r="G149" s="35">
        <f>G150</f>
        <v>200</v>
      </c>
      <c r="H149" s="35">
        <v>19497.175</v>
      </c>
      <c r="I149" s="35">
        <v>19497.175</v>
      </c>
    </row>
    <row r="150" spans="1:9" s="56" customFormat="1" ht="15">
      <c r="A150" s="99" t="s">
        <v>370</v>
      </c>
      <c r="B150" s="100" t="s">
        <v>409</v>
      </c>
      <c r="C150" s="100" t="s">
        <v>9</v>
      </c>
      <c r="D150" s="100" t="s">
        <v>6</v>
      </c>
      <c r="E150" s="101" t="s">
        <v>434</v>
      </c>
      <c r="F150" s="101" t="s">
        <v>27</v>
      </c>
      <c r="G150" s="35">
        <f>200000/1000</f>
        <v>200</v>
      </c>
      <c r="H150" s="35">
        <v>19297.175</v>
      </c>
      <c r="I150" s="35">
        <v>19297.175</v>
      </c>
    </row>
    <row r="151" spans="1:9" s="56" customFormat="1" ht="42.75">
      <c r="A151" s="74" t="s">
        <v>398</v>
      </c>
      <c r="B151" s="102" t="s">
        <v>409</v>
      </c>
      <c r="C151" s="102" t="s">
        <v>9</v>
      </c>
      <c r="D151" s="102" t="s">
        <v>6</v>
      </c>
      <c r="E151" s="103" t="s">
        <v>432</v>
      </c>
      <c r="F151" s="103" t="s">
        <v>16</v>
      </c>
      <c r="G151" s="61">
        <f>G152+G156+G160</f>
        <v>19297.18</v>
      </c>
      <c r="H151" s="35">
        <v>16877.175</v>
      </c>
      <c r="I151" s="35">
        <v>16877.175</v>
      </c>
    </row>
    <row r="152" spans="1:9" s="56" customFormat="1" ht="34.5" customHeight="1">
      <c r="A152" s="99" t="s">
        <v>364</v>
      </c>
      <c r="B152" s="100" t="s">
        <v>409</v>
      </c>
      <c r="C152" s="100" t="s">
        <v>9</v>
      </c>
      <c r="D152" s="100" t="s">
        <v>6</v>
      </c>
      <c r="E152" s="101" t="s">
        <v>432</v>
      </c>
      <c r="F152" s="101" t="s">
        <v>411</v>
      </c>
      <c r="G152" s="35">
        <f>G153</f>
        <v>16877.18</v>
      </c>
      <c r="H152" s="35">
        <v>12962.5</v>
      </c>
      <c r="I152" s="35">
        <v>12962.5</v>
      </c>
    </row>
    <row r="153" spans="1:9" s="56" customFormat="1" ht="30">
      <c r="A153" s="99" t="s">
        <v>395</v>
      </c>
      <c r="B153" s="100" t="s">
        <v>409</v>
      </c>
      <c r="C153" s="100" t="s">
        <v>9</v>
      </c>
      <c r="D153" s="100" t="s">
        <v>6</v>
      </c>
      <c r="E153" s="101" t="s">
        <v>432</v>
      </c>
      <c r="F153" s="101" t="s">
        <v>54</v>
      </c>
      <c r="G153" s="35">
        <f>SUM(G154:G155)</f>
        <v>16877.18</v>
      </c>
      <c r="H153" s="35">
        <v>3914.675</v>
      </c>
      <c r="I153" s="35">
        <v>3914.675</v>
      </c>
    </row>
    <row r="154" spans="1:9" s="56" customFormat="1" ht="15">
      <c r="A154" s="99" t="s">
        <v>396</v>
      </c>
      <c r="B154" s="100" t="s">
        <v>409</v>
      </c>
      <c r="C154" s="100" t="s">
        <v>9</v>
      </c>
      <c r="D154" s="100" t="s">
        <v>6</v>
      </c>
      <c r="E154" s="101" t="s">
        <v>432</v>
      </c>
      <c r="F154" s="101" t="s">
        <v>31</v>
      </c>
      <c r="G154" s="35">
        <f>12962500/1000</f>
        <v>12962.5</v>
      </c>
      <c r="H154" s="35">
        <v>2300</v>
      </c>
      <c r="I154" s="35">
        <v>2300</v>
      </c>
    </row>
    <row r="155" spans="1:9" s="56" customFormat="1" ht="45">
      <c r="A155" s="99" t="s">
        <v>397</v>
      </c>
      <c r="B155" s="100" t="s">
        <v>409</v>
      </c>
      <c r="C155" s="100" t="s">
        <v>9</v>
      </c>
      <c r="D155" s="100" t="s">
        <v>6</v>
      </c>
      <c r="E155" s="101" t="s">
        <v>432</v>
      </c>
      <c r="F155" s="101" t="s">
        <v>53</v>
      </c>
      <c r="G155" s="35">
        <f>3914680/1000</f>
        <v>3914.68</v>
      </c>
      <c r="H155" s="35">
        <v>2300</v>
      </c>
      <c r="I155" s="35">
        <v>2300</v>
      </c>
    </row>
    <row r="156" spans="1:9" s="56" customFormat="1" ht="30">
      <c r="A156" s="99" t="s">
        <v>368</v>
      </c>
      <c r="B156" s="100" t="s">
        <v>409</v>
      </c>
      <c r="C156" s="100" t="s">
        <v>9</v>
      </c>
      <c r="D156" s="100" t="s">
        <v>6</v>
      </c>
      <c r="E156" s="101" t="s">
        <v>432</v>
      </c>
      <c r="F156" s="101" t="s">
        <v>83</v>
      </c>
      <c r="G156" s="35">
        <f>G157</f>
        <v>2300</v>
      </c>
      <c r="H156" s="35">
        <v>1700</v>
      </c>
      <c r="I156" s="35">
        <v>1700</v>
      </c>
    </row>
    <row r="157" spans="1:9" s="56" customFormat="1" ht="45">
      <c r="A157" s="99" t="s">
        <v>369</v>
      </c>
      <c r="B157" s="100" t="s">
        <v>409</v>
      </c>
      <c r="C157" s="100" t="s">
        <v>9</v>
      </c>
      <c r="D157" s="100" t="s">
        <v>6</v>
      </c>
      <c r="E157" s="101" t="s">
        <v>432</v>
      </c>
      <c r="F157" s="101" t="s">
        <v>32</v>
      </c>
      <c r="G157" s="35">
        <f>SUM(G158:G159)</f>
        <v>2300</v>
      </c>
      <c r="H157" s="35">
        <v>600</v>
      </c>
      <c r="I157" s="35">
        <v>600</v>
      </c>
    </row>
    <row r="158" spans="1:9" s="56" customFormat="1" ht="15">
      <c r="A158" s="99" t="s">
        <v>370</v>
      </c>
      <c r="B158" s="100" t="s">
        <v>409</v>
      </c>
      <c r="C158" s="100" t="s">
        <v>9</v>
      </c>
      <c r="D158" s="100" t="s">
        <v>6</v>
      </c>
      <c r="E158" s="101" t="s">
        <v>432</v>
      </c>
      <c r="F158" s="101" t="s">
        <v>27</v>
      </c>
      <c r="G158" s="35">
        <f>1700000/1000</f>
        <v>1700</v>
      </c>
      <c r="H158" s="35">
        <v>120</v>
      </c>
      <c r="I158" s="35">
        <v>120</v>
      </c>
    </row>
    <row r="159" spans="1:9" s="56" customFormat="1" ht="15">
      <c r="A159" s="99" t="s">
        <v>371</v>
      </c>
      <c r="B159" s="100" t="s">
        <v>409</v>
      </c>
      <c r="C159" s="100" t="s">
        <v>9</v>
      </c>
      <c r="D159" s="100" t="s">
        <v>6</v>
      </c>
      <c r="E159" s="101" t="s">
        <v>432</v>
      </c>
      <c r="F159" s="101" t="s">
        <v>87</v>
      </c>
      <c r="G159" s="35">
        <f>600000/1000</f>
        <v>600</v>
      </c>
      <c r="H159" s="35">
        <v>20</v>
      </c>
      <c r="I159" s="35">
        <v>20</v>
      </c>
    </row>
    <row r="160" spans="1:9" s="56" customFormat="1" ht="15">
      <c r="A160" s="99" t="s">
        <v>372</v>
      </c>
      <c r="B160" s="100" t="s">
        <v>409</v>
      </c>
      <c r="C160" s="100" t="s">
        <v>9</v>
      </c>
      <c r="D160" s="100" t="s">
        <v>6</v>
      </c>
      <c r="E160" s="101" t="s">
        <v>432</v>
      </c>
      <c r="F160" s="101" t="s">
        <v>51</v>
      </c>
      <c r="G160" s="35">
        <f>G161</f>
        <v>120</v>
      </c>
      <c r="H160" s="35">
        <v>100</v>
      </c>
      <c r="I160" s="35">
        <v>100</v>
      </c>
    </row>
    <row r="161" spans="1:9" s="56" customFormat="1" ht="15">
      <c r="A161" s="99" t="s">
        <v>373</v>
      </c>
      <c r="B161" s="100" t="s">
        <v>409</v>
      </c>
      <c r="C161" s="100" t="s">
        <v>9</v>
      </c>
      <c r="D161" s="100" t="s">
        <v>6</v>
      </c>
      <c r="E161" s="101" t="s">
        <v>432</v>
      </c>
      <c r="F161" s="101" t="s">
        <v>55</v>
      </c>
      <c r="G161" s="35">
        <f>SUM(G162:G163)</f>
        <v>120</v>
      </c>
      <c r="H161" s="35">
        <v>200</v>
      </c>
      <c r="I161" s="35">
        <v>200</v>
      </c>
    </row>
    <row r="162" spans="1:9" s="56" customFormat="1" ht="15">
      <c r="A162" s="99" t="s">
        <v>374</v>
      </c>
      <c r="B162" s="100" t="s">
        <v>409</v>
      </c>
      <c r="C162" s="100" t="s">
        <v>9</v>
      </c>
      <c r="D162" s="100" t="s">
        <v>6</v>
      </c>
      <c r="E162" s="101" t="s">
        <v>432</v>
      </c>
      <c r="F162" s="101" t="s">
        <v>49</v>
      </c>
      <c r="G162" s="35">
        <f>20000/1000</f>
        <v>20</v>
      </c>
      <c r="H162" s="35">
        <v>200</v>
      </c>
      <c r="I162" s="35">
        <v>200</v>
      </c>
    </row>
    <row r="163" spans="1:9" s="56" customFormat="1" ht="15">
      <c r="A163" s="99" t="s">
        <v>375</v>
      </c>
      <c r="B163" s="100" t="s">
        <v>409</v>
      </c>
      <c r="C163" s="100" t="s">
        <v>9</v>
      </c>
      <c r="D163" s="100" t="s">
        <v>6</v>
      </c>
      <c r="E163" s="101" t="s">
        <v>432</v>
      </c>
      <c r="F163" s="101" t="s">
        <v>52</v>
      </c>
      <c r="G163" s="35">
        <f>100000/1000</f>
        <v>100</v>
      </c>
      <c r="H163" s="35">
        <v>200</v>
      </c>
      <c r="I163" s="35">
        <v>200</v>
      </c>
    </row>
    <row r="164" spans="1:9" s="56" customFormat="1" ht="38.25" customHeight="1">
      <c r="A164" s="104" t="s">
        <v>76</v>
      </c>
      <c r="B164" s="105" t="s">
        <v>409</v>
      </c>
      <c r="C164" s="105" t="s">
        <v>30</v>
      </c>
      <c r="D164" s="105" t="s">
        <v>3</v>
      </c>
      <c r="E164" s="106" t="s">
        <v>410</v>
      </c>
      <c r="F164" s="106" t="s">
        <v>16</v>
      </c>
      <c r="G164" s="82">
        <f>G165+G169</f>
        <v>831.424</v>
      </c>
      <c r="H164" s="35">
        <v>200</v>
      </c>
      <c r="I164" s="35">
        <v>200</v>
      </c>
    </row>
    <row r="165" spans="1:9" s="56" customFormat="1" ht="28.5">
      <c r="A165" s="74" t="s">
        <v>401</v>
      </c>
      <c r="B165" s="102" t="s">
        <v>409</v>
      </c>
      <c r="C165" s="102" t="s">
        <v>30</v>
      </c>
      <c r="D165" s="102" t="s">
        <v>6</v>
      </c>
      <c r="E165" s="103" t="s">
        <v>435</v>
      </c>
      <c r="F165" s="103" t="s">
        <v>16</v>
      </c>
      <c r="G165" s="61">
        <f>G166</f>
        <v>731.424</v>
      </c>
      <c r="H165" s="35">
        <v>0</v>
      </c>
      <c r="I165" s="35">
        <v>0</v>
      </c>
    </row>
    <row r="166" spans="1:9" s="56" customFormat="1" ht="15.75" customHeight="1">
      <c r="A166" s="99" t="s">
        <v>382</v>
      </c>
      <c r="B166" s="100" t="s">
        <v>409</v>
      </c>
      <c r="C166" s="100" t="s">
        <v>30</v>
      </c>
      <c r="D166" s="100" t="s">
        <v>6</v>
      </c>
      <c r="E166" s="101" t="s">
        <v>435</v>
      </c>
      <c r="F166" s="101" t="s">
        <v>65</v>
      </c>
      <c r="G166" s="35">
        <f>G167</f>
        <v>731.424</v>
      </c>
      <c r="H166" s="35">
        <v>0</v>
      </c>
      <c r="I166" s="35">
        <v>0</v>
      </c>
    </row>
    <row r="167" spans="1:9" s="56" customFormat="1" ht="30">
      <c r="A167" s="99" t="s">
        <v>402</v>
      </c>
      <c r="B167" s="100" t="s">
        <v>409</v>
      </c>
      <c r="C167" s="100" t="s">
        <v>30</v>
      </c>
      <c r="D167" s="100" t="s">
        <v>6</v>
      </c>
      <c r="E167" s="101" t="s">
        <v>435</v>
      </c>
      <c r="F167" s="101" t="s">
        <v>93</v>
      </c>
      <c r="G167" s="35">
        <f>G168</f>
        <v>731.424</v>
      </c>
      <c r="H167" s="35">
        <v>0</v>
      </c>
      <c r="I167" s="35">
        <v>0</v>
      </c>
    </row>
    <row r="168" spans="1:9" s="56" customFormat="1" ht="15">
      <c r="A168" s="99" t="s">
        <v>403</v>
      </c>
      <c r="B168" s="100" t="s">
        <v>409</v>
      </c>
      <c r="C168" s="100" t="s">
        <v>30</v>
      </c>
      <c r="D168" s="100" t="s">
        <v>6</v>
      </c>
      <c r="E168" s="101" t="s">
        <v>435</v>
      </c>
      <c r="F168" s="101" t="s">
        <v>64</v>
      </c>
      <c r="G168" s="35">
        <f>731424/1000</f>
        <v>731.424</v>
      </c>
      <c r="H168" s="35">
        <v>0</v>
      </c>
      <c r="I168" s="35">
        <v>0</v>
      </c>
    </row>
    <row r="169" spans="1:9" s="56" customFormat="1" ht="28.5">
      <c r="A169" s="74" t="s">
        <v>404</v>
      </c>
      <c r="B169" s="102" t="s">
        <v>409</v>
      </c>
      <c r="C169" s="102" t="s">
        <v>30</v>
      </c>
      <c r="D169" s="102" t="s">
        <v>74</v>
      </c>
      <c r="E169" s="103" t="s">
        <v>436</v>
      </c>
      <c r="F169" s="103" t="s">
        <v>16</v>
      </c>
      <c r="G169" s="61">
        <f>G170</f>
        <v>100</v>
      </c>
      <c r="H169" s="35">
        <v>0</v>
      </c>
      <c r="I169" s="35">
        <v>0</v>
      </c>
    </row>
    <row r="170" spans="1:9" s="63" customFormat="1" ht="14.25" customHeight="1">
      <c r="A170" s="99" t="s">
        <v>368</v>
      </c>
      <c r="B170" s="100" t="s">
        <v>409</v>
      </c>
      <c r="C170" s="100" t="s">
        <v>30</v>
      </c>
      <c r="D170" s="100" t="s">
        <v>74</v>
      </c>
      <c r="E170" s="101" t="s">
        <v>436</v>
      </c>
      <c r="F170" s="101" t="s">
        <v>83</v>
      </c>
      <c r="G170" s="35">
        <f>G171</f>
        <v>100</v>
      </c>
      <c r="H170" s="61">
        <v>600</v>
      </c>
      <c r="I170" s="61">
        <v>600</v>
      </c>
    </row>
    <row r="171" spans="1:9" s="56" customFormat="1" ht="45">
      <c r="A171" s="99" t="s">
        <v>369</v>
      </c>
      <c r="B171" s="100" t="s">
        <v>409</v>
      </c>
      <c r="C171" s="100" t="s">
        <v>30</v>
      </c>
      <c r="D171" s="100" t="s">
        <v>74</v>
      </c>
      <c r="E171" s="101" t="s">
        <v>436</v>
      </c>
      <c r="F171" s="101" t="s">
        <v>32</v>
      </c>
      <c r="G171" s="35">
        <f>G172</f>
        <v>100</v>
      </c>
      <c r="H171" s="35">
        <v>500</v>
      </c>
      <c r="I171" s="35">
        <v>500</v>
      </c>
    </row>
    <row r="172" spans="1:9" s="56" customFormat="1" ht="15">
      <c r="A172" s="99" t="s">
        <v>370</v>
      </c>
      <c r="B172" s="100" t="s">
        <v>409</v>
      </c>
      <c r="C172" s="100" t="s">
        <v>30</v>
      </c>
      <c r="D172" s="100" t="s">
        <v>74</v>
      </c>
      <c r="E172" s="101" t="s">
        <v>436</v>
      </c>
      <c r="F172" s="101" t="s">
        <v>27</v>
      </c>
      <c r="G172" s="35">
        <f>100000/1000</f>
        <v>100</v>
      </c>
      <c r="H172" s="35">
        <v>500</v>
      </c>
      <c r="I172" s="35">
        <v>500</v>
      </c>
    </row>
    <row r="173" spans="1:9" s="56" customFormat="1" ht="27.75" customHeight="1">
      <c r="A173" s="104" t="s">
        <v>285</v>
      </c>
      <c r="B173" s="105" t="s">
        <v>409</v>
      </c>
      <c r="C173" s="105" t="s">
        <v>17</v>
      </c>
      <c r="D173" s="105" t="s">
        <v>3</v>
      </c>
      <c r="E173" s="106" t="s">
        <v>410</v>
      </c>
      <c r="F173" s="106" t="s">
        <v>16</v>
      </c>
      <c r="G173" s="82">
        <f>G174</f>
        <v>1655.65</v>
      </c>
      <c r="H173" s="35">
        <v>500</v>
      </c>
      <c r="I173" s="35">
        <v>500</v>
      </c>
    </row>
    <row r="174" spans="1:9" s="56" customFormat="1" ht="42.75">
      <c r="A174" s="74" t="s">
        <v>287</v>
      </c>
      <c r="B174" s="102" t="s">
        <v>409</v>
      </c>
      <c r="C174" s="102" t="s">
        <v>17</v>
      </c>
      <c r="D174" s="102" t="s">
        <v>6</v>
      </c>
      <c r="E174" s="103" t="s">
        <v>437</v>
      </c>
      <c r="F174" s="103" t="s">
        <v>16</v>
      </c>
      <c r="G174" s="61">
        <f>G175</f>
        <v>1655.65</v>
      </c>
      <c r="H174" s="35">
        <v>500</v>
      </c>
      <c r="I174" s="35">
        <v>500</v>
      </c>
    </row>
    <row r="175" spans="1:9" s="56" customFormat="1" ht="30">
      <c r="A175" s="99" t="s">
        <v>294</v>
      </c>
      <c r="B175" s="100" t="s">
        <v>409</v>
      </c>
      <c r="C175" s="100" t="s">
        <v>17</v>
      </c>
      <c r="D175" s="100" t="s">
        <v>6</v>
      </c>
      <c r="E175" s="101" t="s">
        <v>437</v>
      </c>
      <c r="F175" s="101" t="s">
        <v>83</v>
      </c>
      <c r="G175" s="35">
        <f>G176</f>
        <v>1655.65</v>
      </c>
      <c r="H175" s="35">
        <v>500</v>
      </c>
      <c r="I175" s="35">
        <v>500</v>
      </c>
    </row>
    <row r="176" spans="1:9" s="56" customFormat="1" ht="45">
      <c r="A176" s="99" t="s">
        <v>295</v>
      </c>
      <c r="B176" s="100" t="s">
        <v>409</v>
      </c>
      <c r="C176" s="100" t="s">
        <v>17</v>
      </c>
      <c r="D176" s="100" t="s">
        <v>6</v>
      </c>
      <c r="E176" s="101" t="s">
        <v>437</v>
      </c>
      <c r="F176" s="101" t="s">
        <v>32</v>
      </c>
      <c r="G176" s="35">
        <f>G177</f>
        <v>1655.65</v>
      </c>
      <c r="H176" s="35">
        <v>500</v>
      </c>
      <c r="I176" s="35">
        <v>500</v>
      </c>
    </row>
    <row r="177" spans="1:9" s="56" customFormat="1" ht="15">
      <c r="A177" s="99" t="s">
        <v>463</v>
      </c>
      <c r="B177" s="100" t="s">
        <v>409</v>
      </c>
      <c r="C177" s="100" t="s">
        <v>17</v>
      </c>
      <c r="D177" s="100" t="s">
        <v>6</v>
      </c>
      <c r="E177" s="101" t="s">
        <v>437</v>
      </c>
      <c r="F177" s="101" t="s">
        <v>27</v>
      </c>
      <c r="G177" s="35">
        <f>SUM(G178:G179)</f>
        <v>1655.65</v>
      </c>
      <c r="H177" s="35">
        <v>500</v>
      </c>
      <c r="I177" s="35">
        <v>500</v>
      </c>
    </row>
    <row r="178" spans="1:9" s="56" customFormat="1" ht="45">
      <c r="A178" s="86" t="s">
        <v>103</v>
      </c>
      <c r="B178" s="87">
        <v>717</v>
      </c>
      <c r="C178" s="79" t="s">
        <v>17</v>
      </c>
      <c r="D178" s="79" t="s">
        <v>6</v>
      </c>
      <c r="E178" s="79" t="s">
        <v>107</v>
      </c>
      <c r="F178" s="79" t="s">
        <v>27</v>
      </c>
      <c r="G178" s="88">
        <v>0</v>
      </c>
      <c r="H178" s="35"/>
      <c r="I178" s="35"/>
    </row>
    <row r="179" spans="1:9" s="56" customFormat="1" ht="30">
      <c r="A179" s="86" t="s">
        <v>345</v>
      </c>
      <c r="B179" s="87">
        <v>717</v>
      </c>
      <c r="C179" s="79" t="s">
        <v>17</v>
      </c>
      <c r="D179" s="79" t="s">
        <v>6</v>
      </c>
      <c r="E179" s="79" t="s">
        <v>107</v>
      </c>
      <c r="F179" s="79" t="s">
        <v>27</v>
      </c>
      <c r="G179" s="88">
        <f>1655650/1000</f>
        <v>1655.65</v>
      </c>
      <c r="H179" s="35"/>
      <c r="I179" s="35"/>
    </row>
    <row r="180" spans="1:9" s="56" customFormat="1" ht="40.5" customHeight="1">
      <c r="A180" s="104" t="s">
        <v>278</v>
      </c>
      <c r="B180" s="105" t="s">
        <v>409</v>
      </c>
      <c r="C180" s="105" t="s">
        <v>59</v>
      </c>
      <c r="D180" s="105" t="s">
        <v>3</v>
      </c>
      <c r="E180" s="106" t="s">
        <v>410</v>
      </c>
      <c r="F180" s="106" t="s">
        <v>16</v>
      </c>
      <c r="G180" s="82">
        <f>G181+G184</f>
        <v>770.0437900000001</v>
      </c>
      <c r="H180" s="35">
        <v>100</v>
      </c>
      <c r="I180" s="35">
        <v>100</v>
      </c>
    </row>
    <row r="181" spans="1:9" s="56" customFormat="1" ht="28.5">
      <c r="A181" s="74" t="s">
        <v>405</v>
      </c>
      <c r="B181" s="102" t="s">
        <v>409</v>
      </c>
      <c r="C181" s="102" t="s">
        <v>59</v>
      </c>
      <c r="D181" s="102" t="s">
        <v>6</v>
      </c>
      <c r="E181" s="103" t="s">
        <v>438</v>
      </c>
      <c r="F181" s="103" t="s">
        <v>16</v>
      </c>
      <c r="G181" s="61">
        <f>G182</f>
        <v>146.24262</v>
      </c>
      <c r="H181" s="35">
        <v>100</v>
      </c>
      <c r="I181" s="35">
        <v>100</v>
      </c>
    </row>
    <row r="182" spans="1:9" s="56" customFormat="1" ht="30">
      <c r="A182" s="99" t="s">
        <v>406</v>
      </c>
      <c r="B182" s="100" t="s">
        <v>409</v>
      </c>
      <c r="C182" s="100" t="s">
        <v>59</v>
      </c>
      <c r="D182" s="100" t="s">
        <v>6</v>
      </c>
      <c r="E182" s="101" t="s">
        <v>438</v>
      </c>
      <c r="F182" s="101" t="s">
        <v>96</v>
      </c>
      <c r="G182" s="35">
        <f>G183</f>
        <v>146.24262</v>
      </c>
      <c r="H182" s="35">
        <v>100</v>
      </c>
      <c r="I182" s="35">
        <v>100</v>
      </c>
    </row>
    <row r="183" spans="1:9" s="56" customFormat="1" ht="15">
      <c r="A183" s="99" t="s">
        <v>405</v>
      </c>
      <c r="B183" s="100" t="s">
        <v>409</v>
      </c>
      <c r="C183" s="100" t="s">
        <v>59</v>
      </c>
      <c r="D183" s="100" t="s">
        <v>6</v>
      </c>
      <c r="E183" s="101" t="s">
        <v>438</v>
      </c>
      <c r="F183" s="101" t="s">
        <v>60</v>
      </c>
      <c r="G183" s="35">
        <f>146242.62/1000</f>
        <v>146.24262</v>
      </c>
      <c r="H183" s="35">
        <v>100</v>
      </c>
      <c r="I183" s="35">
        <v>100</v>
      </c>
    </row>
    <row r="184" spans="1:9" s="56" customFormat="1" ht="28.5">
      <c r="A184" s="74" t="s">
        <v>407</v>
      </c>
      <c r="B184" s="102" t="s">
        <v>409</v>
      </c>
      <c r="C184" s="102" t="s">
        <v>23</v>
      </c>
      <c r="D184" s="102" t="s">
        <v>11</v>
      </c>
      <c r="E184" s="103" t="s">
        <v>439</v>
      </c>
      <c r="F184" s="103" t="s">
        <v>16</v>
      </c>
      <c r="G184" s="61">
        <f>G185</f>
        <v>623.8011700000001</v>
      </c>
      <c r="H184" s="35">
        <v>100</v>
      </c>
      <c r="I184" s="35">
        <v>100</v>
      </c>
    </row>
    <row r="185" spans="1:9" s="56" customFormat="1" ht="15">
      <c r="A185" s="99" t="s">
        <v>408</v>
      </c>
      <c r="B185" s="100" t="s">
        <v>409</v>
      </c>
      <c r="C185" s="100" t="s">
        <v>23</v>
      </c>
      <c r="D185" s="100" t="s">
        <v>11</v>
      </c>
      <c r="E185" s="101" t="s">
        <v>439</v>
      </c>
      <c r="F185" s="101" t="s">
        <v>412</v>
      </c>
      <c r="G185" s="35">
        <f>G186</f>
        <v>623.8011700000001</v>
      </c>
      <c r="H185" s="35">
        <v>100</v>
      </c>
      <c r="I185" s="35">
        <v>100</v>
      </c>
    </row>
    <row r="186" spans="1:9" s="56" customFormat="1" ht="15">
      <c r="A186" s="99" t="s">
        <v>407</v>
      </c>
      <c r="B186" s="100" t="s">
        <v>409</v>
      </c>
      <c r="C186" s="100" t="s">
        <v>23</v>
      </c>
      <c r="D186" s="100" t="s">
        <v>11</v>
      </c>
      <c r="E186" s="101" t="s">
        <v>439</v>
      </c>
      <c r="F186" s="101" t="s">
        <v>29</v>
      </c>
      <c r="G186" s="35">
        <f>623801.17/1000</f>
        <v>623.8011700000001</v>
      </c>
      <c r="H186" s="35">
        <v>100</v>
      </c>
      <c r="I186" s="35">
        <v>100</v>
      </c>
    </row>
    <row r="187" spans="7:9" ht="15">
      <c r="G187" s="89"/>
      <c r="H187" s="89"/>
      <c r="I187" s="89"/>
    </row>
  </sheetData>
  <sheetProtection/>
  <mergeCells count="2">
    <mergeCell ref="A2:G2"/>
    <mergeCell ref="D1:G1"/>
  </mergeCells>
  <printOptions/>
  <pageMargins left="0.3937007874015748" right="0.2362204724409449" top="0.35433070866141736" bottom="0.35433070866141736" header="0.31496062992125984" footer="0.31496062992125984"/>
  <pageSetup fitToHeight="0" fitToWidth="1" horizontalDpi="600" verticalDpi="600" orientation="portrait" paperSize="9" scale="96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view="pageBreakPreview" zoomScale="60" zoomScaleNormal="86" zoomScalePageLayoutView="0" workbookViewId="0" topLeftCell="A180">
      <selection activeCell="G14" sqref="G14"/>
    </sheetView>
  </sheetViews>
  <sheetFormatPr defaultColWidth="9.00390625" defaultRowHeight="12.75"/>
  <cols>
    <col min="1" max="1" width="43.00390625" style="65" customWidth="1"/>
    <col min="2" max="2" width="5.375" style="39" customWidth="1"/>
    <col min="3" max="3" width="6.00390625" style="39" customWidth="1"/>
    <col min="4" max="4" width="5.125" style="39" customWidth="1"/>
    <col min="5" max="5" width="14.75390625" style="39" customWidth="1"/>
    <col min="6" max="6" width="6.625" style="39" customWidth="1"/>
    <col min="7" max="7" width="15.625" style="39" customWidth="1"/>
    <col min="8" max="8" width="16.375" style="39" customWidth="1"/>
    <col min="9" max="9" width="15.25390625" style="39" customWidth="1"/>
    <col min="10" max="10" width="11.375" style="66" bestFit="1" customWidth="1"/>
    <col min="11" max="11" width="11.125" style="66" bestFit="1" customWidth="1"/>
    <col min="12" max="13" width="10.125" style="66" bestFit="1" customWidth="1"/>
    <col min="14" max="15" width="11.75390625" style="66" bestFit="1" customWidth="1"/>
    <col min="16" max="16" width="9.125" style="66" customWidth="1"/>
    <col min="17" max="17" width="10.125" style="66" bestFit="1" customWidth="1"/>
    <col min="18" max="16384" width="9.125" style="66" customWidth="1"/>
  </cols>
  <sheetData>
    <row r="1" spans="1:9" s="1" customFormat="1" ht="126.75" customHeight="1">
      <c r="A1" s="10"/>
      <c r="B1" s="2"/>
      <c r="C1" s="2"/>
      <c r="D1" s="2"/>
      <c r="E1" s="206" t="s">
        <v>497</v>
      </c>
      <c r="F1" s="210"/>
      <c r="G1" s="210"/>
      <c r="H1" s="210"/>
      <c r="I1" s="7"/>
    </row>
    <row r="2" spans="1:9" ht="44.25" customHeight="1">
      <c r="A2" s="207" t="s">
        <v>498</v>
      </c>
      <c r="B2" s="207"/>
      <c r="C2" s="207"/>
      <c r="D2" s="207"/>
      <c r="E2" s="207"/>
      <c r="F2" s="207"/>
      <c r="G2" s="207"/>
      <c r="H2" s="207"/>
      <c r="I2" s="110"/>
    </row>
    <row r="3" spans="1:9" ht="14.25" customHeight="1" hidden="1">
      <c r="A3" s="37"/>
      <c r="B3" s="37"/>
      <c r="C3" s="37"/>
      <c r="D3" s="37"/>
      <c r="E3" s="111" t="s">
        <v>270</v>
      </c>
      <c r="F3" s="111"/>
      <c r="G3" s="112" t="e">
        <f>'[1]прил. 1 21.11'!#REF!</f>
        <v>#REF!</v>
      </c>
      <c r="H3" s="112" t="e">
        <f>'[1]прил. 1 21.11'!#REF!</f>
        <v>#REF!</v>
      </c>
      <c r="I3" s="112" t="e">
        <f>'[1]прил. 1 21.11'!#REF!</f>
        <v>#REF!</v>
      </c>
    </row>
    <row r="4" spans="1:9" ht="14.25" customHeight="1" hidden="1">
      <c r="A4" s="37"/>
      <c r="B4" s="37"/>
      <c r="C4" s="37"/>
      <c r="D4" s="37"/>
      <c r="E4" s="111" t="s">
        <v>273</v>
      </c>
      <c r="F4" s="111"/>
      <c r="G4" s="112" t="e">
        <f>'[1]прил. 1 21.11'!#REF!</f>
        <v>#REF!</v>
      </c>
      <c r="H4" s="112" t="e">
        <f>'[1]прил. 1 21.11'!#REF!</f>
        <v>#REF!</v>
      </c>
      <c r="I4" s="112" t="e">
        <f>'[1]прил. 1 21.11'!#REF!</f>
        <v>#REF!</v>
      </c>
    </row>
    <row r="5" spans="1:9" ht="15" customHeight="1" hidden="1">
      <c r="A5" s="37"/>
      <c r="B5" s="37"/>
      <c r="C5" s="37"/>
      <c r="D5" s="37"/>
      <c r="E5" s="113" t="s">
        <v>269</v>
      </c>
      <c r="F5" s="37"/>
      <c r="G5" s="112" t="e">
        <f>#REF!-G8</f>
        <v>#REF!</v>
      </c>
      <c r="H5" s="112" t="e">
        <f>#REF!-H8</f>
        <v>#REF!</v>
      </c>
      <c r="I5" s="112" t="e">
        <f>#REF!-I8</f>
        <v>#REF!</v>
      </c>
    </row>
    <row r="6" spans="1:9" ht="15" customHeight="1" hidden="1">
      <c r="A6" s="37"/>
      <c r="B6" s="37"/>
      <c r="C6" s="37"/>
      <c r="D6" s="37"/>
      <c r="E6" s="113" t="s">
        <v>271</v>
      </c>
      <c r="F6" s="37"/>
      <c r="G6" s="112" t="e">
        <f>#REF!</f>
        <v>#REF!</v>
      </c>
      <c r="H6" s="112" t="e">
        <f>#REF!</f>
        <v>#REF!</v>
      </c>
      <c r="I6" s="112" t="e">
        <f>#REF!</f>
        <v>#REF!</v>
      </c>
    </row>
    <row r="7" spans="1:9" ht="12.75" customHeight="1" hidden="1">
      <c r="A7" s="114"/>
      <c r="B7" s="37"/>
      <c r="C7" s="37"/>
      <c r="D7" s="37"/>
      <c r="E7" s="113" t="s">
        <v>268</v>
      </c>
      <c r="F7" s="37"/>
      <c r="G7" s="112" t="e">
        <f>#REF!-'[1]прил. 1 21.11'!#REF!</f>
        <v>#REF!</v>
      </c>
      <c r="H7" s="112" t="e">
        <f>#REF!-'[1]прил. 1 21.11'!#REF!</f>
        <v>#REF!</v>
      </c>
      <c r="I7" s="115" t="e">
        <f>#REF!-'[1]прил. 1 21.11'!#REF!</f>
        <v>#REF!</v>
      </c>
    </row>
    <row r="8" spans="1:9" ht="12" customHeight="1" hidden="1">
      <c r="A8" s="114"/>
      <c r="B8" s="37"/>
      <c r="C8" s="37"/>
      <c r="D8" s="37"/>
      <c r="E8" s="113" t="s">
        <v>267</v>
      </c>
      <c r="F8" s="37"/>
      <c r="G8" s="112" t="e">
        <f>G7*G9</f>
        <v>#REF!</v>
      </c>
      <c r="H8" s="112" t="e">
        <f>H7*H9</f>
        <v>#REF!</v>
      </c>
      <c r="I8" s="112" t="e">
        <f>I7*I9</f>
        <v>#REF!</v>
      </c>
    </row>
    <row r="9" spans="1:9" ht="16.5" customHeight="1" hidden="1">
      <c r="A9" s="114"/>
      <c r="B9" s="37"/>
      <c r="C9" s="37"/>
      <c r="D9" s="37"/>
      <c r="E9" s="37"/>
      <c r="F9" s="37"/>
      <c r="G9" s="116">
        <v>0.025</v>
      </c>
      <c r="H9" s="116">
        <v>0.025</v>
      </c>
      <c r="I9" s="117">
        <v>0.05</v>
      </c>
    </row>
    <row r="10" spans="1:9" ht="16.5" customHeight="1" hidden="1">
      <c r="A10" s="114"/>
      <c r="B10" s="37"/>
      <c r="C10" s="37"/>
      <c r="D10" s="37"/>
      <c r="E10" s="111" t="s">
        <v>272</v>
      </c>
      <c r="F10" s="37"/>
      <c r="G10" s="118" t="e">
        <f>G11/(G3-G4)</f>
        <v>#REF!</v>
      </c>
      <c r="H10" s="118" t="e">
        <f>H11/(H3-H4)</f>
        <v>#REF!</v>
      </c>
      <c r="I10" s="118" t="e">
        <f>I11/(I3-I4)</f>
        <v>#REF!</v>
      </c>
    </row>
    <row r="11" spans="1:9" ht="15" hidden="1">
      <c r="A11" s="67"/>
      <c r="B11" s="68"/>
      <c r="C11" s="119"/>
      <c r="D11" s="120"/>
      <c r="E11" s="119"/>
      <c r="F11" s="113"/>
      <c r="G11" s="115" t="e">
        <f>'[1]прил. 1 21.11'!#REF!-'прил.8'!#REF!</f>
        <v>#REF!</v>
      </c>
      <c r="H11" s="115" t="e">
        <f>'[1]прил. 1 21.11'!#REF!-'прил.8'!#REF!</f>
        <v>#REF!</v>
      </c>
      <c r="I11" s="115" t="e">
        <f>'[1]прил. 1 21.11'!#REF!-'прил.8'!#REF!</f>
        <v>#REF!</v>
      </c>
    </row>
    <row r="12" spans="1:8" ht="15">
      <c r="A12" s="67"/>
      <c r="B12" s="68"/>
      <c r="C12" s="119"/>
      <c r="D12" s="120"/>
      <c r="E12" s="119"/>
      <c r="G12" s="115"/>
      <c r="H12" s="39" t="s">
        <v>13</v>
      </c>
    </row>
    <row r="13" spans="1:8" s="45" customFormat="1" ht="33" customHeight="1">
      <c r="A13" s="44"/>
      <c r="B13" s="44"/>
      <c r="C13" s="44" t="s">
        <v>2</v>
      </c>
      <c r="D13" s="44" t="s">
        <v>4</v>
      </c>
      <c r="E13" s="44" t="s">
        <v>14</v>
      </c>
      <c r="F13" s="44" t="s">
        <v>15</v>
      </c>
      <c r="G13" s="48" t="s">
        <v>491</v>
      </c>
      <c r="H13" s="48" t="s">
        <v>492</v>
      </c>
    </row>
    <row r="14" spans="1:8" s="45" customFormat="1" ht="24" customHeight="1">
      <c r="A14" s="42" t="s">
        <v>19</v>
      </c>
      <c r="B14" s="42">
        <v>717</v>
      </c>
      <c r="C14" s="42"/>
      <c r="D14" s="42"/>
      <c r="E14" s="42"/>
      <c r="F14" s="42"/>
      <c r="G14" s="61">
        <f>G15+G53+G59+G68+G95++G146+G155+G173+G182+G189</f>
        <v>235852.96</v>
      </c>
      <c r="H14" s="61">
        <f>H15+H53+H59+H68+H95++H146+H155+H173+H182+H189</f>
        <v>229733.74999</v>
      </c>
    </row>
    <row r="15" spans="1:9" s="34" customFormat="1" ht="28.5">
      <c r="A15" s="90" t="s">
        <v>0</v>
      </c>
      <c r="B15" s="91">
        <v>717</v>
      </c>
      <c r="C15" s="91" t="s">
        <v>6</v>
      </c>
      <c r="D15" s="91" t="s">
        <v>3</v>
      </c>
      <c r="E15" s="92" t="s">
        <v>410</v>
      </c>
      <c r="F15" s="92" t="s">
        <v>16</v>
      </c>
      <c r="G15" s="82">
        <f>G16+G21+G37+G42+G46+G49</f>
        <v>57678.812430000005</v>
      </c>
      <c r="H15" s="82">
        <f>H16+H21+H37+H42+H46+H49</f>
        <v>85013.27482</v>
      </c>
      <c r="I15" s="121"/>
    </row>
    <row r="16" spans="1:8" s="33" customFormat="1" ht="28.5">
      <c r="A16" s="93" t="s">
        <v>363</v>
      </c>
      <c r="B16" s="94" t="s">
        <v>409</v>
      </c>
      <c r="C16" s="94" t="s">
        <v>6</v>
      </c>
      <c r="D16" s="94" t="s">
        <v>8</v>
      </c>
      <c r="E16" s="95" t="s">
        <v>413</v>
      </c>
      <c r="F16" s="95" t="s">
        <v>16</v>
      </c>
      <c r="G16" s="61">
        <f>G17</f>
        <v>3857.02787</v>
      </c>
      <c r="H16" s="61">
        <f>H17</f>
        <v>3857.02787</v>
      </c>
    </row>
    <row r="17" spans="1:8" s="33" customFormat="1" ht="90">
      <c r="A17" s="96" t="s">
        <v>364</v>
      </c>
      <c r="B17" s="97" t="s">
        <v>409</v>
      </c>
      <c r="C17" s="97" t="s">
        <v>6</v>
      </c>
      <c r="D17" s="97" t="s">
        <v>8</v>
      </c>
      <c r="E17" s="98" t="s">
        <v>413</v>
      </c>
      <c r="F17" s="98" t="s">
        <v>411</v>
      </c>
      <c r="G17" s="35">
        <f>G18</f>
        <v>3857.02787</v>
      </c>
      <c r="H17" s="35">
        <f>H18</f>
        <v>3857.02787</v>
      </c>
    </row>
    <row r="18" spans="1:8" s="33" customFormat="1" ht="27" customHeight="1">
      <c r="A18" s="96" t="s">
        <v>365</v>
      </c>
      <c r="B18" s="97" t="s">
        <v>409</v>
      </c>
      <c r="C18" s="97" t="s">
        <v>6</v>
      </c>
      <c r="D18" s="97" t="s">
        <v>8</v>
      </c>
      <c r="E18" s="98" t="s">
        <v>413</v>
      </c>
      <c r="F18" s="98" t="s">
        <v>50</v>
      </c>
      <c r="G18" s="35">
        <f>SUM(G19:G20)</f>
        <v>3857.02787</v>
      </c>
      <c r="H18" s="35">
        <f>SUM(H19:H20)</f>
        <v>3857.02787</v>
      </c>
    </row>
    <row r="19" spans="1:8" s="33" customFormat="1" ht="29.25" customHeight="1">
      <c r="A19" s="96" t="s">
        <v>366</v>
      </c>
      <c r="B19" s="97" t="s">
        <v>409</v>
      </c>
      <c r="C19" s="97" t="s">
        <v>6</v>
      </c>
      <c r="D19" s="97" t="s">
        <v>8</v>
      </c>
      <c r="E19" s="98" t="s">
        <v>413</v>
      </c>
      <c r="F19" s="98" t="s">
        <v>26</v>
      </c>
      <c r="G19" s="35">
        <f>2962387/1000</f>
        <v>2962.387</v>
      </c>
      <c r="H19" s="35">
        <f>2962387/1000</f>
        <v>2962.387</v>
      </c>
    </row>
    <row r="20" spans="1:8" s="33" customFormat="1" ht="60">
      <c r="A20" s="96" t="s">
        <v>367</v>
      </c>
      <c r="B20" s="97" t="s">
        <v>409</v>
      </c>
      <c r="C20" s="97" t="s">
        <v>6</v>
      </c>
      <c r="D20" s="97" t="s">
        <v>8</v>
      </c>
      <c r="E20" s="98" t="s">
        <v>413</v>
      </c>
      <c r="F20" s="98" t="s">
        <v>48</v>
      </c>
      <c r="G20" s="35">
        <f>894640.87/1000</f>
        <v>894.64087</v>
      </c>
      <c r="H20" s="35">
        <f>894640.87/1000</f>
        <v>894.64087</v>
      </c>
    </row>
    <row r="21" spans="1:8" s="33" customFormat="1" ht="28.5">
      <c r="A21" s="93" t="s">
        <v>363</v>
      </c>
      <c r="B21" s="94" t="s">
        <v>409</v>
      </c>
      <c r="C21" s="94" t="s">
        <v>6</v>
      </c>
      <c r="D21" s="94" t="s">
        <v>7</v>
      </c>
      <c r="E21" s="95" t="s">
        <v>413</v>
      </c>
      <c r="F21" s="95" t="s">
        <v>16</v>
      </c>
      <c r="G21" s="61">
        <f>G22+G26+G30+G33</f>
        <v>53100.28456000001</v>
      </c>
      <c r="H21" s="61">
        <f>H22+H26+H30+H33</f>
        <v>80434.74695</v>
      </c>
    </row>
    <row r="22" spans="1:8" s="33" customFormat="1" ht="90">
      <c r="A22" s="96" t="s">
        <v>364</v>
      </c>
      <c r="B22" s="97" t="s">
        <v>409</v>
      </c>
      <c r="C22" s="97" t="s">
        <v>6</v>
      </c>
      <c r="D22" s="97" t="s">
        <v>7</v>
      </c>
      <c r="E22" s="98" t="s">
        <v>413</v>
      </c>
      <c r="F22" s="98" t="s">
        <v>411</v>
      </c>
      <c r="G22" s="35">
        <f>G23</f>
        <v>50474.689340000004</v>
      </c>
      <c r="H22" s="35">
        <f>H23</f>
        <v>70374.74695</v>
      </c>
    </row>
    <row r="23" spans="1:8" s="33" customFormat="1" ht="30">
      <c r="A23" s="96" t="s">
        <v>365</v>
      </c>
      <c r="B23" s="97" t="s">
        <v>409</v>
      </c>
      <c r="C23" s="97" t="s">
        <v>6</v>
      </c>
      <c r="D23" s="97" t="s">
        <v>7</v>
      </c>
      <c r="E23" s="98" t="s">
        <v>413</v>
      </c>
      <c r="F23" s="98" t="s">
        <v>50</v>
      </c>
      <c r="G23" s="35">
        <f>SUM(G24:G25)</f>
        <v>50474.689340000004</v>
      </c>
      <c r="H23" s="35">
        <f>SUM(H24:H25)</f>
        <v>70374.74695</v>
      </c>
    </row>
    <row r="24" spans="1:8" s="33" customFormat="1" ht="54" customHeight="1">
      <c r="A24" s="96" t="s">
        <v>366</v>
      </c>
      <c r="B24" s="97" t="s">
        <v>409</v>
      </c>
      <c r="C24" s="97" t="s">
        <v>6</v>
      </c>
      <c r="D24" s="97" t="s">
        <v>7</v>
      </c>
      <c r="E24" s="98" t="s">
        <v>413</v>
      </c>
      <c r="F24" s="98" t="s">
        <v>26</v>
      </c>
      <c r="G24" s="35">
        <f>38767042.5/1000</f>
        <v>38767.0425</v>
      </c>
      <c r="H24" s="35">
        <f>54051264.94/1000</f>
        <v>54051.26494</v>
      </c>
    </row>
    <row r="25" spans="1:8" s="33" customFormat="1" ht="60">
      <c r="A25" s="96" t="s">
        <v>367</v>
      </c>
      <c r="B25" s="97" t="s">
        <v>409</v>
      </c>
      <c r="C25" s="97" t="s">
        <v>6</v>
      </c>
      <c r="D25" s="97" t="s">
        <v>7</v>
      </c>
      <c r="E25" s="98" t="s">
        <v>413</v>
      </c>
      <c r="F25" s="98" t="s">
        <v>48</v>
      </c>
      <c r="G25" s="35">
        <f>11707646.84/1000</f>
        <v>11707.64684</v>
      </c>
      <c r="H25" s="35">
        <f>16323482.01/1000</f>
        <v>16323.48201</v>
      </c>
    </row>
    <row r="26" spans="1:8" s="33" customFormat="1" ht="27" customHeight="1">
      <c r="A26" s="96" t="s">
        <v>368</v>
      </c>
      <c r="B26" s="97" t="s">
        <v>409</v>
      </c>
      <c r="C26" s="97" t="s">
        <v>6</v>
      </c>
      <c r="D26" s="97" t="s">
        <v>7</v>
      </c>
      <c r="E26" s="98" t="s">
        <v>413</v>
      </c>
      <c r="F26" s="98" t="s">
        <v>83</v>
      </c>
      <c r="G26" s="35">
        <f>G27</f>
        <v>2565.59522</v>
      </c>
      <c r="H26" s="35">
        <f>H27</f>
        <v>10000</v>
      </c>
    </row>
    <row r="27" spans="1:8" s="33" customFormat="1" ht="45">
      <c r="A27" s="96" t="s">
        <v>369</v>
      </c>
      <c r="B27" s="97" t="s">
        <v>409</v>
      </c>
      <c r="C27" s="97" t="s">
        <v>6</v>
      </c>
      <c r="D27" s="97" t="s">
        <v>7</v>
      </c>
      <c r="E27" s="98" t="s">
        <v>413</v>
      </c>
      <c r="F27" s="98" t="s">
        <v>32</v>
      </c>
      <c r="G27" s="35">
        <f>SUM(G28:G29)</f>
        <v>2565.59522</v>
      </c>
      <c r="H27" s="35">
        <f>SUM(H28:H29)</f>
        <v>10000</v>
      </c>
    </row>
    <row r="28" spans="1:8" s="33" customFormat="1" ht="15">
      <c r="A28" s="96" t="s">
        <v>370</v>
      </c>
      <c r="B28" s="97" t="s">
        <v>409</v>
      </c>
      <c r="C28" s="97" t="s">
        <v>6</v>
      </c>
      <c r="D28" s="97" t="s">
        <v>7</v>
      </c>
      <c r="E28" s="98" t="s">
        <v>413</v>
      </c>
      <c r="F28" s="98" t="s">
        <v>27</v>
      </c>
      <c r="G28" s="35">
        <v>0</v>
      </c>
      <c r="H28" s="35">
        <f>7500000/1000</f>
        <v>7500</v>
      </c>
    </row>
    <row r="29" spans="1:8" s="33" customFormat="1" ht="15">
      <c r="A29" s="96" t="s">
        <v>371</v>
      </c>
      <c r="B29" s="97" t="s">
        <v>409</v>
      </c>
      <c r="C29" s="97" t="s">
        <v>6</v>
      </c>
      <c r="D29" s="97" t="s">
        <v>7</v>
      </c>
      <c r="E29" s="98" t="s">
        <v>413</v>
      </c>
      <c r="F29" s="98" t="s">
        <v>87</v>
      </c>
      <c r="G29" s="35">
        <f>2565595.22/1000</f>
        <v>2565.59522</v>
      </c>
      <c r="H29" s="35">
        <f>2500000/1000</f>
        <v>2500</v>
      </c>
    </row>
    <row r="30" spans="1:8" s="33" customFormat="1" ht="30">
      <c r="A30" s="96" t="s">
        <v>459</v>
      </c>
      <c r="B30" s="97" t="s">
        <v>409</v>
      </c>
      <c r="C30" s="97" t="s">
        <v>6</v>
      </c>
      <c r="D30" s="97" t="s">
        <v>7</v>
      </c>
      <c r="E30" s="98" t="s">
        <v>413</v>
      </c>
      <c r="F30" s="98" t="s">
        <v>65</v>
      </c>
      <c r="G30" s="35">
        <f>G31</f>
        <v>10</v>
      </c>
      <c r="H30" s="35">
        <f>H31</f>
        <v>10</v>
      </c>
    </row>
    <row r="31" spans="1:8" s="33" customFormat="1" ht="45">
      <c r="A31" s="96" t="s">
        <v>460</v>
      </c>
      <c r="B31" s="97" t="s">
        <v>409</v>
      </c>
      <c r="C31" s="97" t="s">
        <v>6</v>
      </c>
      <c r="D31" s="97" t="s">
        <v>7</v>
      </c>
      <c r="E31" s="98" t="s">
        <v>413</v>
      </c>
      <c r="F31" s="98" t="s">
        <v>440</v>
      </c>
      <c r="G31" s="35">
        <f>G32</f>
        <v>10</v>
      </c>
      <c r="H31" s="35">
        <f>H32</f>
        <v>10</v>
      </c>
    </row>
    <row r="32" spans="1:8" s="33" customFormat="1" ht="45">
      <c r="A32" s="96" t="s">
        <v>461</v>
      </c>
      <c r="B32" s="97" t="s">
        <v>409</v>
      </c>
      <c r="C32" s="97" t="s">
        <v>6</v>
      </c>
      <c r="D32" s="97" t="s">
        <v>7</v>
      </c>
      <c r="E32" s="98" t="s">
        <v>413</v>
      </c>
      <c r="F32" s="98" t="s">
        <v>441</v>
      </c>
      <c r="G32" s="35">
        <f>10000/1000</f>
        <v>10</v>
      </c>
      <c r="H32" s="35">
        <f>10000/1000</f>
        <v>10</v>
      </c>
    </row>
    <row r="33" spans="1:8" s="33" customFormat="1" ht="15">
      <c r="A33" s="96" t="s">
        <v>372</v>
      </c>
      <c r="B33" s="97" t="s">
        <v>409</v>
      </c>
      <c r="C33" s="97" t="s">
        <v>6</v>
      </c>
      <c r="D33" s="97" t="s">
        <v>7</v>
      </c>
      <c r="E33" s="98" t="s">
        <v>413</v>
      </c>
      <c r="F33" s="98" t="s">
        <v>51</v>
      </c>
      <c r="G33" s="35">
        <f>G34</f>
        <v>50</v>
      </c>
      <c r="H33" s="35">
        <f>H34</f>
        <v>50</v>
      </c>
    </row>
    <row r="34" spans="1:8" s="33" customFormat="1" ht="15">
      <c r="A34" s="96" t="s">
        <v>373</v>
      </c>
      <c r="B34" s="97" t="s">
        <v>409</v>
      </c>
      <c r="C34" s="97" t="s">
        <v>6</v>
      </c>
      <c r="D34" s="97" t="s">
        <v>7</v>
      </c>
      <c r="E34" s="98" t="s">
        <v>413</v>
      </c>
      <c r="F34" s="98" t="s">
        <v>55</v>
      </c>
      <c r="G34" s="35">
        <f>SUM(G35:G36)</f>
        <v>50</v>
      </c>
      <c r="H34" s="35">
        <f>SUM(H35:H36)</f>
        <v>50</v>
      </c>
    </row>
    <row r="35" spans="1:8" s="33" customFormat="1" ht="15">
      <c r="A35" s="96" t="s">
        <v>374</v>
      </c>
      <c r="B35" s="97" t="s">
        <v>409</v>
      </c>
      <c r="C35" s="97" t="s">
        <v>6</v>
      </c>
      <c r="D35" s="97" t="s">
        <v>7</v>
      </c>
      <c r="E35" s="98" t="s">
        <v>413</v>
      </c>
      <c r="F35" s="98" t="s">
        <v>49</v>
      </c>
      <c r="G35" s="35">
        <f>50000/1000</f>
        <v>50</v>
      </c>
      <c r="H35" s="35">
        <f>50000/1000</f>
        <v>50</v>
      </c>
    </row>
    <row r="36" spans="1:8" s="33" customFormat="1" ht="15">
      <c r="A36" s="96" t="s">
        <v>375</v>
      </c>
      <c r="B36" s="97" t="s">
        <v>409</v>
      </c>
      <c r="C36" s="97" t="s">
        <v>6</v>
      </c>
      <c r="D36" s="97" t="s">
        <v>7</v>
      </c>
      <c r="E36" s="98" t="s">
        <v>413</v>
      </c>
      <c r="F36" s="98" t="s">
        <v>52</v>
      </c>
      <c r="G36" s="35">
        <v>0</v>
      </c>
      <c r="H36" s="35">
        <v>0</v>
      </c>
    </row>
    <row r="37" spans="1:8" s="33" customFormat="1" ht="57">
      <c r="A37" s="93" t="s">
        <v>376</v>
      </c>
      <c r="B37" s="94" t="s">
        <v>409</v>
      </c>
      <c r="C37" s="94" t="s">
        <v>6</v>
      </c>
      <c r="D37" s="94" t="s">
        <v>7</v>
      </c>
      <c r="E37" s="95" t="s">
        <v>414</v>
      </c>
      <c r="F37" s="95" t="s">
        <v>16</v>
      </c>
      <c r="G37" s="61">
        <f>G38</f>
        <v>120.8</v>
      </c>
      <c r="H37" s="61">
        <f>H38</f>
        <v>120.8</v>
      </c>
    </row>
    <row r="38" spans="1:8" s="33" customFormat="1" ht="90">
      <c r="A38" s="96" t="s">
        <v>364</v>
      </c>
      <c r="B38" s="97" t="s">
        <v>409</v>
      </c>
      <c r="C38" s="97" t="s">
        <v>6</v>
      </c>
      <c r="D38" s="97" t="s">
        <v>7</v>
      </c>
      <c r="E38" s="98" t="s">
        <v>414</v>
      </c>
      <c r="F38" s="98" t="s">
        <v>411</v>
      </c>
      <c r="G38" s="35">
        <f>G39</f>
        <v>120.8</v>
      </c>
      <c r="H38" s="35">
        <f>H39</f>
        <v>120.8</v>
      </c>
    </row>
    <row r="39" spans="1:8" s="33" customFormat="1" ht="30">
      <c r="A39" s="96" t="s">
        <v>365</v>
      </c>
      <c r="B39" s="97" t="s">
        <v>409</v>
      </c>
      <c r="C39" s="97" t="s">
        <v>6</v>
      </c>
      <c r="D39" s="97" t="s">
        <v>7</v>
      </c>
      <c r="E39" s="98" t="s">
        <v>414</v>
      </c>
      <c r="F39" s="98" t="s">
        <v>50</v>
      </c>
      <c r="G39" s="35">
        <f>SUM(G40:G41)</f>
        <v>120.8</v>
      </c>
      <c r="H39" s="35">
        <f>SUM(H40:H41)</f>
        <v>120.8</v>
      </c>
    </row>
    <row r="40" spans="1:8" s="33" customFormat="1" ht="30">
      <c r="A40" s="96" t="s">
        <v>366</v>
      </c>
      <c r="B40" s="97" t="s">
        <v>409</v>
      </c>
      <c r="C40" s="97" t="s">
        <v>6</v>
      </c>
      <c r="D40" s="97" t="s">
        <v>7</v>
      </c>
      <c r="E40" s="98" t="s">
        <v>414</v>
      </c>
      <c r="F40" s="98" t="s">
        <v>26</v>
      </c>
      <c r="G40" s="35">
        <f>92780.34/1000</f>
        <v>92.78034</v>
      </c>
      <c r="H40" s="35">
        <f>92780.34/1000</f>
        <v>92.78034</v>
      </c>
    </row>
    <row r="41" spans="1:8" s="33" customFormat="1" ht="60">
      <c r="A41" s="96" t="s">
        <v>367</v>
      </c>
      <c r="B41" s="97" t="s">
        <v>409</v>
      </c>
      <c r="C41" s="97" t="s">
        <v>6</v>
      </c>
      <c r="D41" s="97" t="s">
        <v>7</v>
      </c>
      <c r="E41" s="98" t="s">
        <v>414</v>
      </c>
      <c r="F41" s="98" t="s">
        <v>48</v>
      </c>
      <c r="G41" s="35">
        <f>28019.66/1000</f>
        <v>28.01966</v>
      </c>
      <c r="H41" s="35">
        <f>28019.66/1000</f>
        <v>28.01966</v>
      </c>
    </row>
    <row r="42" spans="1:8" s="33" customFormat="1" ht="128.25">
      <c r="A42" s="93" t="s">
        <v>377</v>
      </c>
      <c r="B42" s="94" t="s">
        <v>409</v>
      </c>
      <c r="C42" s="94" t="s">
        <v>6</v>
      </c>
      <c r="D42" s="94" t="s">
        <v>7</v>
      </c>
      <c r="E42" s="95" t="s">
        <v>415</v>
      </c>
      <c r="F42" s="95" t="s">
        <v>16</v>
      </c>
      <c r="G42" s="61">
        <f aca="true" t="shared" si="0" ref="G42:H44">G43</f>
        <v>0.7</v>
      </c>
      <c r="H42" s="61">
        <f t="shared" si="0"/>
        <v>0.7</v>
      </c>
    </row>
    <row r="43" spans="1:8" s="33" customFormat="1" ht="45">
      <c r="A43" s="96" t="s">
        <v>368</v>
      </c>
      <c r="B43" s="97" t="s">
        <v>409</v>
      </c>
      <c r="C43" s="97" t="s">
        <v>6</v>
      </c>
      <c r="D43" s="97" t="s">
        <v>7</v>
      </c>
      <c r="E43" s="98" t="s">
        <v>415</v>
      </c>
      <c r="F43" s="98" t="s">
        <v>83</v>
      </c>
      <c r="G43" s="35">
        <f t="shared" si="0"/>
        <v>0.7</v>
      </c>
      <c r="H43" s="35">
        <f t="shared" si="0"/>
        <v>0.7</v>
      </c>
    </row>
    <row r="44" spans="1:8" s="33" customFormat="1" ht="45">
      <c r="A44" s="96" t="s">
        <v>369</v>
      </c>
      <c r="B44" s="97" t="s">
        <v>409</v>
      </c>
      <c r="C44" s="97" t="s">
        <v>6</v>
      </c>
      <c r="D44" s="97" t="s">
        <v>7</v>
      </c>
      <c r="E44" s="98" t="s">
        <v>415</v>
      </c>
      <c r="F44" s="98" t="s">
        <v>32</v>
      </c>
      <c r="G44" s="35">
        <f t="shared" si="0"/>
        <v>0.7</v>
      </c>
      <c r="H44" s="35">
        <f t="shared" si="0"/>
        <v>0.7</v>
      </c>
    </row>
    <row r="45" spans="1:8" s="33" customFormat="1" ht="15">
      <c r="A45" s="96" t="s">
        <v>370</v>
      </c>
      <c r="B45" s="97" t="s">
        <v>409</v>
      </c>
      <c r="C45" s="97" t="s">
        <v>6</v>
      </c>
      <c r="D45" s="97" t="s">
        <v>7</v>
      </c>
      <c r="E45" s="98" t="s">
        <v>415</v>
      </c>
      <c r="F45" s="98" t="s">
        <v>27</v>
      </c>
      <c r="G45" s="35">
        <f>700/1000</f>
        <v>0.7</v>
      </c>
      <c r="H45" s="35">
        <f>700/1000</f>
        <v>0.7</v>
      </c>
    </row>
    <row r="46" spans="1:8" s="33" customFormat="1" ht="28.5">
      <c r="A46" s="93" t="s">
        <v>378</v>
      </c>
      <c r="B46" s="94" t="s">
        <v>409</v>
      </c>
      <c r="C46" s="94" t="s">
        <v>6</v>
      </c>
      <c r="D46" s="94" t="s">
        <v>17</v>
      </c>
      <c r="E46" s="95" t="s">
        <v>416</v>
      </c>
      <c r="F46" s="95" t="s">
        <v>16</v>
      </c>
      <c r="G46" s="61">
        <f>G47</f>
        <v>300</v>
      </c>
      <c r="H46" s="61">
        <f>H47</f>
        <v>300</v>
      </c>
    </row>
    <row r="47" spans="1:8" s="33" customFormat="1" ht="15">
      <c r="A47" s="96" t="s">
        <v>372</v>
      </c>
      <c r="B47" s="97" t="s">
        <v>409</v>
      </c>
      <c r="C47" s="97" t="s">
        <v>6</v>
      </c>
      <c r="D47" s="97" t="s">
        <v>17</v>
      </c>
      <c r="E47" s="98" t="s">
        <v>416</v>
      </c>
      <c r="F47" s="98" t="s">
        <v>51</v>
      </c>
      <c r="G47" s="35">
        <f>G48</f>
        <v>300</v>
      </c>
      <c r="H47" s="35">
        <f>H48</f>
        <v>300</v>
      </c>
    </row>
    <row r="48" spans="1:8" s="33" customFormat="1" ht="15">
      <c r="A48" s="96" t="s">
        <v>379</v>
      </c>
      <c r="B48" s="97" t="s">
        <v>409</v>
      </c>
      <c r="C48" s="97" t="s">
        <v>6</v>
      </c>
      <c r="D48" s="97" t="s">
        <v>17</v>
      </c>
      <c r="E48" s="98" t="s">
        <v>416</v>
      </c>
      <c r="F48" s="98" t="s">
        <v>28</v>
      </c>
      <c r="G48" s="35">
        <f>300000/1000</f>
        <v>300</v>
      </c>
      <c r="H48" s="35">
        <f>300000/1000</f>
        <v>300</v>
      </c>
    </row>
    <row r="49" spans="1:8" s="33" customFormat="1" ht="15" customHeight="1">
      <c r="A49" s="93" t="s">
        <v>383</v>
      </c>
      <c r="B49" s="94" t="s">
        <v>409</v>
      </c>
      <c r="C49" s="94" t="s">
        <v>6</v>
      </c>
      <c r="D49" s="94" t="s">
        <v>59</v>
      </c>
      <c r="E49" s="95" t="s">
        <v>419</v>
      </c>
      <c r="F49" s="95" t="s">
        <v>16</v>
      </c>
      <c r="G49" s="61">
        <f aca="true" t="shared" si="1" ref="G49:H51">G50</f>
        <v>300</v>
      </c>
      <c r="H49" s="61">
        <f t="shared" si="1"/>
        <v>300</v>
      </c>
    </row>
    <row r="50" spans="1:8" s="33" customFormat="1" ht="45">
      <c r="A50" s="96" t="s">
        <v>368</v>
      </c>
      <c r="B50" s="97" t="s">
        <v>409</v>
      </c>
      <c r="C50" s="97" t="s">
        <v>6</v>
      </c>
      <c r="D50" s="97" t="s">
        <v>59</v>
      </c>
      <c r="E50" s="98" t="s">
        <v>419</v>
      </c>
      <c r="F50" s="98" t="s">
        <v>83</v>
      </c>
      <c r="G50" s="35">
        <f t="shared" si="1"/>
        <v>300</v>
      </c>
      <c r="H50" s="35">
        <f t="shared" si="1"/>
        <v>300</v>
      </c>
    </row>
    <row r="51" spans="1:8" s="33" customFormat="1" ht="27" customHeight="1">
      <c r="A51" s="96" t="s">
        <v>369</v>
      </c>
      <c r="B51" s="97" t="s">
        <v>409</v>
      </c>
      <c r="C51" s="97" t="s">
        <v>6</v>
      </c>
      <c r="D51" s="97" t="s">
        <v>59</v>
      </c>
      <c r="E51" s="98" t="s">
        <v>419</v>
      </c>
      <c r="F51" s="98" t="s">
        <v>32</v>
      </c>
      <c r="G51" s="35">
        <f t="shared" si="1"/>
        <v>300</v>
      </c>
      <c r="H51" s="35">
        <f t="shared" si="1"/>
        <v>300</v>
      </c>
    </row>
    <row r="52" spans="1:8" s="33" customFormat="1" ht="15">
      <c r="A52" s="96" t="s">
        <v>370</v>
      </c>
      <c r="B52" s="97" t="s">
        <v>409</v>
      </c>
      <c r="C52" s="97" t="s">
        <v>6</v>
      </c>
      <c r="D52" s="97" t="s">
        <v>59</v>
      </c>
      <c r="E52" s="98" t="s">
        <v>419</v>
      </c>
      <c r="F52" s="98" t="s">
        <v>27</v>
      </c>
      <c r="G52" s="35">
        <f>300000/1000</f>
        <v>300</v>
      </c>
      <c r="H52" s="35">
        <f>300000/1000</f>
        <v>300</v>
      </c>
    </row>
    <row r="53" spans="1:8" s="33" customFormat="1" ht="15">
      <c r="A53" s="122" t="s">
        <v>274</v>
      </c>
      <c r="B53" s="123" t="s">
        <v>409</v>
      </c>
      <c r="C53" s="123" t="s">
        <v>8</v>
      </c>
      <c r="D53" s="123" t="s">
        <v>3</v>
      </c>
      <c r="E53" s="124" t="s">
        <v>410</v>
      </c>
      <c r="F53" s="124" t="s">
        <v>16</v>
      </c>
      <c r="G53" s="82">
        <f aca="true" t="shared" si="2" ref="G53:H55">G54</f>
        <v>3316.9</v>
      </c>
      <c r="H53" s="82">
        <f t="shared" si="2"/>
        <v>0</v>
      </c>
    </row>
    <row r="54" spans="1:8" s="33" customFormat="1" ht="15.75" customHeight="1">
      <c r="A54" s="93" t="s">
        <v>384</v>
      </c>
      <c r="B54" s="94" t="s">
        <v>409</v>
      </c>
      <c r="C54" s="94" t="s">
        <v>8</v>
      </c>
      <c r="D54" s="94" t="s">
        <v>11</v>
      </c>
      <c r="E54" s="95" t="s">
        <v>420</v>
      </c>
      <c r="F54" s="95" t="s">
        <v>16</v>
      </c>
      <c r="G54" s="61">
        <f t="shared" si="2"/>
        <v>3316.9</v>
      </c>
      <c r="H54" s="61">
        <f t="shared" si="2"/>
        <v>0</v>
      </c>
    </row>
    <row r="55" spans="1:8" s="34" customFormat="1" ht="16.5" customHeight="1">
      <c r="A55" s="96" t="s">
        <v>364</v>
      </c>
      <c r="B55" s="97" t="s">
        <v>409</v>
      </c>
      <c r="C55" s="97" t="s">
        <v>8</v>
      </c>
      <c r="D55" s="97" t="s">
        <v>11</v>
      </c>
      <c r="E55" s="98" t="s">
        <v>420</v>
      </c>
      <c r="F55" s="98" t="s">
        <v>411</v>
      </c>
      <c r="G55" s="35">
        <f t="shared" si="2"/>
        <v>3316.9</v>
      </c>
      <c r="H55" s="35">
        <f t="shared" si="2"/>
        <v>0</v>
      </c>
    </row>
    <row r="56" spans="1:8" s="33" customFormat="1" ht="30">
      <c r="A56" s="96" t="s">
        <v>365</v>
      </c>
      <c r="B56" s="97" t="s">
        <v>409</v>
      </c>
      <c r="C56" s="97" t="s">
        <v>8</v>
      </c>
      <c r="D56" s="97" t="s">
        <v>11</v>
      </c>
      <c r="E56" s="98" t="s">
        <v>420</v>
      </c>
      <c r="F56" s="98" t="s">
        <v>50</v>
      </c>
      <c r="G56" s="35">
        <f>SUM(G57:G58)</f>
        <v>3316.9</v>
      </c>
      <c r="H56" s="35">
        <f>SUM(H57:H58)</f>
        <v>0</v>
      </c>
    </row>
    <row r="57" spans="1:8" s="33" customFormat="1" ht="30">
      <c r="A57" s="96" t="s">
        <v>366</v>
      </c>
      <c r="B57" s="97" t="s">
        <v>409</v>
      </c>
      <c r="C57" s="97" t="s">
        <v>8</v>
      </c>
      <c r="D57" s="97" t="s">
        <v>11</v>
      </c>
      <c r="E57" s="98" t="s">
        <v>420</v>
      </c>
      <c r="F57" s="98" t="s">
        <v>26</v>
      </c>
      <c r="G57" s="35">
        <f>2547542.24/1000</f>
        <v>2547.54224</v>
      </c>
      <c r="H57" s="35">
        <v>0</v>
      </c>
    </row>
    <row r="58" spans="1:8" s="33" customFormat="1" ht="60">
      <c r="A58" s="96" t="s">
        <v>367</v>
      </c>
      <c r="B58" s="97" t="s">
        <v>409</v>
      </c>
      <c r="C58" s="97" t="s">
        <v>8</v>
      </c>
      <c r="D58" s="97" t="s">
        <v>11</v>
      </c>
      <c r="E58" s="98" t="s">
        <v>420</v>
      </c>
      <c r="F58" s="98" t="s">
        <v>48</v>
      </c>
      <c r="G58" s="35">
        <f>769357.76/1000</f>
        <v>769.35776</v>
      </c>
      <c r="H58" s="35">
        <v>0</v>
      </c>
    </row>
    <row r="59" spans="1:8" s="33" customFormat="1" ht="42.75">
      <c r="A59" s="122" t="s">
        <v>33</v>
      </c>
      <c r="B59" s="123" t="s">
        <v>409</v>
      </c>
      <c r="C59" s="123" t="s">
        <v>11</v>
      </c>
      <c r="D59" s="123" t="s">
        <v>3</v>
      </c>
      <c r="E59" s="124" t="s">
        <v>410</v>
      </c>
      <c r="F59" s="124" t="s">
        <v>16</v>
      </c>
      <c r="G59" s="82">
        <f>G60+G64</f>
        <v>520</v>
      </c>
      <c r="H59" s="82">
        <f>H60+H64</f>
        <v>520</v>
      </c>
    </row>
    <row r="60" spans="1:8" s="33" customFormat="1" ht="42.75">
      <c r="A60" s="93" t="s">
        <v>385</v>
      </c>
      <c r="B60" s="94" t="s">
        <v>409</v>
      </c>
      <c r="C60" s="94" t="s">
        <v>11</v>
      </c>
      <c r="D60" s="94" t="s">
        <v>25</v>
      </c>
      <c r="E60" s="95" t="s">
        <v>421</v>
      </c>
      <c r="F60" s="95" t="s">
        <v>16</v>
      </c>
      <c r="G60" s="61">
        <f aca="true" t="shared" si="3" ref="G60:H62">G61</f>
        <v>120</v>
      </c>
      <c r="H60" s="61">
        <f t="shared" si="3"/>
        <v>120</v>
      </c>
    </row>
    <row r="61" spans="1:8" s="33" customFormat="1" ht="45">
      <c r="A61" s="96" t="s">
        <v>368</v>
      </c>
      <c r="B61" s="97" t="s">
        <v>409</v>
      </c>
      <c r="C61" s="97" t="s">
        <v>11</v>
      </c>
      <c r="D61" s="97" t="s">
        <v>25</v>
      </c>
      <c r="E61" s="98" t="s">
        <v>421</v>
      </c>
      <c r="F61" s="98" t="s">
        <v>83</v>
      </c>
      <c r="G61" s="35">
        <f t="shared" si="3"/>
        <v>120</v>
      </c>
      <c r="H61" s="35">
        <f t="shared" si="3"/>
        <v>120</v>
      </c>
    </row>
    <row r="62" spans="1:8" s="33" customFormat="1" ht="45">
      <c r="A62" s="96" t="s">
        <v>369</v>
      </c>
      <c r="B62" s="97" t="s">
        <v>409</v>
      </c>
      <c r="C62" s="97" t="s">
        <v>11</v>
      </c>
      <c r="D62" s="97" t="s">
        <v>25</v>
      </c>
      <c r="E62" s="98" t="s">
        <v>421</v>
      </c>
      <c r="F62" s="98" t="s">
        <v>32</v>
      </c>
      <c r="G62" s="35">
        <f t="shared" si="3"/>
        <v>120</v>
      </c>
      <c r="H62" s="35">
        <f t="shared" si="3"/>
        <v>120</v>
      </c>
    </row>
    <row r="63" spans="1:8" s="33" customFormat="1" ht="15">
      <c r="A63" s="96" t="s">
        <v>370</v>
      </c>
      <c r="B63" s="97" t="s">
        <v>409</v>
      </c>
      <c r="C63" s="97" t="s">
        <v>11</v>
      </c>
      <c r="D63" s="97" t="s">
        <v>25</v>
      </c>
      <c r="E63" s="98" t="s">
        <v>421</v>
      </c>
      <c r="F63" s="98" t="s">
        <v>27</v>
      </c>
      <c r="G63" s="35">
        <f>120000/1000</f>
        <v>120</v>
      </c>
      <c r="H63" s="35">
        <f>120000/1000</f>
        <v>120</v>
      </c>
    </row>
    <row r="64" spans="1:8" s="34" customFormat="1" ht="14.25">
      <c r="A64" s="93" t="s">
        <v>386</v>
      </c>
      <c r="B64" s="94" t="s">
        <v>409</v>
      </c>
      <c r="C64" s="94" t="s">
        <v>11</v>
      </c>
      <c r="D64" s="94" t="s">
        <v>30</v>
      </c>
      <c r="E64" s="95" t="s">
        <v>422</v>
      </c>
      <c r="F64" s="95" t="s">
        <v>16</v>
      </c>
      <c r="G64" s="61">
        <f aca="true" t="shared" si="4" ref="G64:H66">G65</f>
        <v>400</v>
      </c>
      <c r="H64" s="61">
        <f t="shared" si="4"/>
        <v>400</v>
      </c>
    </row>
    <row r="65" spans="1:8" s="33" customFormat="1" ht="45">
      <c r="A65" s="96" t="s">
        <v>368</v>
      </c>
      <c r="B65" s="97" t="s">
        <v>409</v>
      </c>
      <c r="C65" s="97" t="s">
        <v>11</v>
      </c>
      <c r="D65" s="97" t="s">
        <v>30</v>
      </c>
      <c r="E65" s="98" t="s">
        <v>422</v>
      </c>
      <c r="F65" s="98" t="s">
        <v>83</v>
      </c>
      <c r="G65" s="35">
        <f t="shared" si="4"/>
        <v>400</v>
      </c>
      <c r="H65" s="35">
        <f t="shared" si="4"/>
        <v>400</v>
      </c>
    </row>
    <row r="66" spans="1:8" s="33" customFormat="1" ht="45">
      <c r="A66" s="96" t="s">
        <v>369</v>
      </c>
      <c r="B66" s="97" t="s">
        <v>409</v>
      </c>
      <c r="C66" s="97" t="s">
        <v>11</v>
      </c>
      <c r="D66" s="97" t="s">
        <v>30</v>
      </c>
      <c r="E66" s="98" t="s">
        <v>422</v>
      </c>
      <c r="F66" s="98" t="s">
        <v>32</v>
      </c>
      <c r="G66" s="35">
        <f t="shared" si="4"/>
        <v>400</v>
      </c>
      <c r="H66" s="35">
        <f t="shared" si="4"/>
        <v>400</v>
      </c>
    </row>
    <row r="67" spans="1:8" s="33" customFormat="1" ht="26.25" customHeight="1">
      <c r="A67" s="96" t="s">
        <v>370</v>
      </c>
      <c r="B67" s="97" t="s">
        <v>409</v>
      </c>
      <c r="C67" s="97" t="s">
        <v>11</v>
      </c>
      <c r="D67" s="97" t="s">
        <v>30</v>
      </c>
      <c r="E67" s="98" t="s">
        <v>422</v>
      </c>
      <c r="F67" s="98" t="s">
        <v>27</v>
      </c>
      <c r="G67" s="35">
        <f>400000/1000</f>
        <v>400</v>
      </c>
      <c r="H67" s="35">
        <f>400000/1000</f>
        <v>400</v>
      </c>
    </row>
    <row r="68" spans="1:8" s="33" customFormat="1" ht="15">
      <c r="A68" s="122" t="s">
        <v>24</v>
      </c>
      <c r="B68" s="123" t="s">
        <v>409</v>
      </c>
      <c r="C68" s="123" t="s">
        <v>7</v>
      </c>
      <c r="D68" s="123" t="s">
        <v>3</v>
      </c>
      <c r="E68" s="124" t="s">
        <v>410</v>
      </c>
      <c r="F68" s="124" t="s">
        <v>16</v>
      </c>
      <c r="G68" s="82">
        <f>G69+G90</f>
        <v>112167.87000000001</v>
      </c>
      <c r="H68" s="82">
        <f>H69+H90</f>
        <v>102525.87000000001</v>
      </c>
    </row>
    <row r="69" spans="1:8" s="33" customFormat="1" ht="15">
      <c r="A69" s="125" t="s">
        <v>314</v>
      </c>
      <c r="B69" s="126" t="s">
        <v>409</v>
      </c>
      <c r="C69" s="126" t="s">
        <v>7</v>
      </c>
      <c r="D69" s="126" t="s">
        <v>25</v>
      </c>
      <c r="E69" s="127" t="s">
        <v>410</v>
      </c>
      <c r="F69" s="127" t="s">
        <v>16</v>
      </c>
      <c r="G69" s="85">
        <f>G70+G74+G80+G84</f>
        <v>111967.87000000001</v>
      </c>
      <c r="H69" s="85">
        <f>H70+H74+H80+H84</f>
        <v>102325.87000000001</v>
      </c>
    </row>
    <row r="70" spans="1:8" s="33" customFormat="1" ht="85.5">
      <c r="A70" s="93" t="s">
        <v>387</v>
      </c>
      <c r="B70" s="94" t="s">
        <v>409</v>
      </c>
      <c r="C70" s="94" t="s">
        <v>7</v>
      </c>
      <c r="D70" s="94" t="s">
        <v>25</v>
      </c>
      <c r="E70" s="95" t="s">
        <v>423</v>
      </c>
      <c r="F70" s="95" t="s">
        <v>16</v>
      </c>
      <c r="G70" s="61">
        <f aca="true" t="shared" si="5" ref="G70:H72">G71</f>
        <v>9142</v>
      </c>
      <c r="H70" s="61">
        <f t="shared" si="5"/>
        <v>0</v>
      </c>
    </row>
    <row r="71" spans="1:8" s="33" customFormat="1" ht="45">
      <c r="A71" s="96" t="s">
        <v>368</v>
      </c>
      <c r="B71" s="97" t="s">
        <v>409</v>
      </c>
      <c r="C71" s="97" t="s">
        <v>7</v>
      </c>
      <c r="D71" s="97" t="s">
        <v>25</v>
      </c>
      <c r="E71" s="98" t="s">
        <v>423</v>
      </c>
      <c r="F71" s="98" t="s">
        <v>83</v>
      </c>
      <c r="G71" s="35">
        <f t="shared" si="5"/>
        <v>9142</v>
      </c>
      <c r="H71" s="35">
        <f t="shared" si="5"/>
        <v>0</v>
      </c>
    </row>
    <row r="72" spans="1:8" s="33" customFormat="1" ht="45">
      <c r="A72" s="96" t="s">
        <v>295</v>
      </c>
      <c r="B72" s="97" t="s">
        <v>409</v>
      </c>
      <c r="C72" s="97" t="s">
        <v>7</v>
      </c>
      <c r="D72" s="97" t="s">
        <v>25</v>
      </c>
      <c r="E72" s="98" t="s">
        <v>423</v>
      </c>
      <c r="F72" s="98" t="s">
        <v>32</v>
      </c>
      <c r="G72" s="35">
        <f t="shared" si="5"/>
        <v>9142</v>
      </c>
      <c r="H72" s="35">
        <f t="shared" si="5"/>
        <v>0</v>
      </c>
    </row>
    <row r="73" spans="1:8" s="33" customFormat="1" ht="15">
      <c r="A73" s="96" t="s">
        <v>370</v>
      </c>
      <c r="B73" s="97" t="s">
        <v>409</v>
      </c>
      <c r="C73" s="97" t="s">
        <v>7</v>
      </c>
      <c r="D73" s="97" t="s">
        <v>25</v>
      </c>
      <c r="E73" s="98" t="s">
        <v>423</v>
      </c>
      <c r="F73" s="98" t="s">
        <v>27</v>
      </c>
      <c r="G73" s="35">
        <f>9142000/1000</f>
        <v>9142</v>
      </c>
      <c r="H73" s="35">
        <v>0</v>
      </c>
    </row>
    <row r="74" spans="1:8" s="33" customFormat="1" ht="52.5" customHeight="1">
      <c r="A74" s="93" t="s">
        <v>388</v>
      </c>
      <c r="B74" s="94" t="s">
        <v>409</v>
      </c>
      <c r="C74" s="94" t="s">
        <v>7</v>
      </c>
      <c r="D74" s="94" t="s">
        <v>25</v>
      </c>
      <c r="E74" s="95" t="s">
        <v>424</v>
      </c>
      <c r="F74" s="95" t="s">
        <v>16</v>
      </c>
      <c r="G74" s="61">
        <f aca="true" t="shared" si="6" ref="G74:H76">G75</f>
        <v>86021.52</v>
      </c>
      <c r="H74" s="61">
        <f t="shared" si="6"/>
        <v>86021.52</v>
      </c>
    </row>
    <row r="75" spans="1:8" s="34" customFormat="1" ht="42.75" customHeight="1">
      <c r="A75" s="96" t="s">
        <v>368</v>
      </c>
      <c r="B75" s="97" t="s">
        <v>409</v>
      </c>
      <c r="C75" s="97" t="s">
        <v>7</v>
      </c>
      <c r="D75" s="97" t="s">
        <v>25</v>
      </c>
      <c r="E75" s="98" t="s">
        <v>424</v>
      </c>
      <c r="F75" s="98" t="s">
        <v>83</v>
      </c>
      <c r="G75" s="35">
        <f t="shared" si="6"/>
        <v>86021.52</v>
      </c>
      <c r="H75" s="35">
        <f t="shared" si="6"/>
        <v>86021.52</v>
      </c>
    </row>
    <row r="76" spans="1:8" s="33" customFormat="1" ht="45">
      <c r="A76" s="96" t="s">
        <v>369</v>
      </c>
      <c r="B76" s="97" t="s">
        <v>409</v>
      </c>
      <c r="C76" s="97" t="s">
        <v>7</v>
      </c>
      <c r="D76" s="97" t="s">
        <v>25</v>
      </c>
      <c r="E76" s="98" t="s">
        <v>424</v>
      </c>
      <c r="F76" s="98" t="s">
        <v>32</v>
      </c>
      <c r="G76" s="35">
        <f t="shared" si="6"/>
        <v>86021.52</v>
      </c>
      <c r="H76" s="35">
        <f t="shared" si="6"/>
        <v>86021.52</v>
      </c>
    </row>
    <row r="77" spans="1:8" s="33" customFormat="1" ht="45">
      <c r="A77" s="96" t="s">
        <v>466</v>
      </c>
      <c r="B77" s="97" t="s">
        <v>409</v>
      </c>
      <c r="C77" s="97" t="s">
        <v>7</v>
      </c>
      <c r="D77" s="97" t="s">
        <v>25</v>
      </c>
      <c r="E77" s="98" t="s">
        <v>424</v>
      </c>
      <c r="F77" s="98" t="s">
        <v>57</v>
      </c>
      <c r="G77" s="35">
        <f>SUM(G78:G79)</f>
        <v>86021.52</v>
      </c>
      <c r="H77" s="35">
        <f>SUM(H78:H79)</f>
        <v>86021.52</v>
      </c>
    </row>
    <row r="78" spans="1:8" s="33" customFormat="1" ht="90">
      <c r="A78" s="86" t="s">
        <v>464</v>
      </c>
      <c r="B78" s="87">
        <v>717</v>
      </c>
      <c r="C78" s="79" t="s">
        <v>7</v>
      </c>
      <c r="D78" s="79" t="s">
        <v>25</v>
      </c>
      <c r="E78" s="79" t="s">
        <v>352</v>
      </c>
      <c r="F78" s="79" t="s">
        <v>57</v>
      </c>
      <c r="G78" s="88">
        <f>80000000/1000</f>
        <v>80000</v>
      </c>
      <c r="H78" s="88">
        <f>80000000/1000</f>
        <v>80000</v>
      </c>
    </row>
    <row r="79" spans="1:8" s="33" customFormat="1" ht="90">
      <c r="A79" s="86" t="s">
        <v>465</v>
      </c>
      <c r="B79" s="87">
        <v>717</v>
      </c>
      <c r="C79" s="79" t="s">
        <v>7</v>
      </c>
      <c r="D79" s="79" t="s">
        <v>25</v>
      </c>
      <c r="E79" s="79" t="s">
        <v>352</v>
      </c>
      <c r="F79" s="79" t="s">
        <v>57</v>
      </c>
      <c r="G79" s="88">
        <f>6021520/1000</f>
        <v>6021.52</v>
      </c>
      <c r="H79" s="88">
        <f>6021520/1000</f>
        <v>6021.52</v>
      </c>
    </row>
    <row r="80" spans="1:8" s="33" customFormat="1" ht="28.5">
      <c r="A80" s="93" t="s">
        <v>389</v>
      </c>
      <c r="B80" s="94" t="s">
        <v>409</v>
      </c>
      <c r="C80" s="94" t="s">
        <v>7</v>
      </c>
      <c r="D80" s="94" t="s">
        <v>25</v>
      </c>
      <c r="E80" s="95" t="s">
        <v>425</v>
      </c>
      <c r="F80" s="95" t="s">
        <v>16</v>
      </c>
      <c r="G80" s="61">
        <f aca="true" t="shared" si="7" ref="G80:H82">G81</f>
        <v>500</v>
      </c>
      <c r="H80" s="61">
        <f t="shared" si="7"/>
        <v>0</v>
      </c>
    </row>
    <row r="81" spans="1:8" s="33" customFormat="1" ht="45">
      <c r="A81" s="96" t="s">
        <v>368</v>
      </c>
      <c r="B81" s="97" t="s">
        <v>409</v>
      </c>
      <c r="C81" s="97" t="s">
        <v>7</v>
      </c>
      <c r="D81" s="97" t="s">
        <v>25</v>
      </c>
      <c r="E81" s="98" t="s">
        <v>425</v>
      </c>
      <c r="F81" s="98" t="s">
        <v>83</v>
      </c>
      <c r="G81" s="35">
        <f t="shared" si="7"/>
        <v>500</v>
      </c>
      <c r="H81" s="35">
        <f t="shared" si="7"/>
        <v>0</v>
      </c>
    </row>
    <row r="82" spans="1:8" s="33" customFormat="1" ht="45">
      <c r="A82" s="96" t="s">
        <v>369</v>
      </c>
      <c r="B82" s="97" t="s">
        <v>409</v>
      </c>
      <c r="C82" s="97" t="s">
        <v>7</v>
      </c>
      <c r="D82" s="97" t="s">
        <v>25</v>
      </c>
      <c r="E82" s="98" t="s">
        <v>425</v>
      </c>
      <c r="F82" s="98" t="s">
        <v>32</v>
      </c>
      <c r="G82" s="35">
        <f t="shared" si="7"/>
        <v>500</v>
      </c>
      <c r="H82" s="35">
        <f t="shared" si="7"/>
        <v>0</v>
      </c>
    </row>
    <row r="83" spans="1:8" s="33" customFormat="1" ht="15">
      <c r="A83" s="96" t="s">
        <v>370</v>
      </c>
      <c r="B83" s="97" t="s">
        <v>409</v>
      </c>
      <c r="C83" s="97" t="s">
        <v>7</v>
      </c>
      <c r="D83" s="97" t="s">
        <v>25</v>
      </c>
      <c r="E83" s="98" t="s">
        <v>425</v>
      </c>
      <c r="F83" s="98" t="s">
        <v>27</v>
      </c>
      <c r="G83" s="35">
        <f>500000/1000</f>
        <v>500</v>
      </c>
      <c r="H83" s="35">
        <v>0</v>
      </c>
    </row>
    <row r="84" spans="1:8" s="34" customFormat="1" ht="28.5">
      <c r="A84" s="93" t="s">
        <v>390</v>
      </c>
      <c r="B84" s="94" t="s">
        <v>409</v>
      </c>
      <c r="C84" s="94" t="s">
        <v>7</v>
      </c>
      <c r="D84" s="94" t="s">
        <v>25</v>
      </c>
      <c r="E84" s="95" t="s">
        <v>426</v>
      </c>
      <c r="F84" s="95" t="s">
        <v>16</v>
      </c>
      <c r="G84" s="61">
        <f aca="true" t="shared" si="8" ref="G84:H86">G85</f>
        <v>16304.35</v>
      </c>
      <c r="H84" s="61">
        <f t="shared" si="8"/>
        <v>16304.35</v>
      </c>
    </row>
    <row r="85" spans="1:8" s="34" customFormat="1" ht="45">
      <c r="A85" s="96" t="s">
        <v>368</v>
      </c>
      <c r="B85" s="97" t="s">
        <v>409</v>
      </c>
      <c r="C85" s="97" t="s">
        <v>7</v>
      </c>
      <c r="D85" s="97" t="s">
        <v>25</v>
      </c>
      <c r="E85" s="98" t="s">
        <v>426</v>
      </c>
      <c r="F85" s="98" t="s">
        <v>83</v>
      </c>
      <c r="G85" s="35">
        <f t="shared" si="8"/>
        <v>16304.35</v>
      </c>
      <c r="H85" s="35">
        <f t="shared" si="8"/>
        <v>16304.35</v>
      </c>
    </row>
    <row r="86" spans="1:8" s="33" customFormat="1" ht="45">
      <c r="A86" s="96" t="s">
        <v>369</v>
      </c>
      <c r="B86" s="97" t="s">
        <v>409</v>
      </c>
      <c r="C86" s="97" t="s">
        <v>7</v>
      </c>
      <c r="D86" s="97" t="s">
        <v>25</v>
      </c>
      <c r="E86" s="98" t="s">
        <v>426</v>
      </c>
      <c r="F86" s="98" t="s">
        <v>32</v>
      </c>
      <c r="G86" s="35">
        <f t="shared" si="8"/>
        <v>16304.35</v>
      </c>
      <c r="H86" s="35">
        <f t="shared" si="8"/>
        <v>16304.35</v>
      </c>
    </row>
    <row r="87" spans="1:8" s="34" customFormat="1" ht="50.25" customHeight="1">
      <c r="A87" s="96" t="s">
        <v>370</v>
      </c>
      <c r="B87" s="97" t="s">
        <v>409</v>
      </c>
      <c r="C87" s="97" t="s">
        <v>7</v>
      </c>
      <c r="D87" s="97" t="s">
        <v>25</v>
      </c>
      <c r="E87" s="98" t="s">
        <v>426</v>
      </c>
      <c r="F87" s="98" t="s">
        <v>27</v>
      </c>
      <c r="G87" s="35">
        <f>16304350/1000</f>
        <v>16304.35</v>
      </c>
      <c r="H87" s="35">
        <f>16304350/1000</f>
        <v>16304.35</v>
      </c>
    </row>
    <row r="88" spans="1:8" s="33" customFormat="1" ht="27.75" customHeight="1">
      <c r="A88" s="86" t="s">
        <v>495</v>
      </c>
      <c r="B88" s="87">
        <v>717</v>
      </c>
      <c r="C88" s="79" t="s">
        <v>7</v>
      </c>
      <c r="D88" s="79" t="s">
        <v>25</v>
      </c>
      <c r="E88" s="79" t="s">
        <v>68</v>
      </c>
      <c r="F88" s="79" t="s">
        <v>27</v>
      </c>
      <c r="G88" s="88">
        <f>15000000/1000</f>
        <v>15000</v>
      </c>
      <c r="H88" s="88">
        <f>15000000/1000</f>
        <v>15000</v>
      </c>
    </row>
    <row r="89" spans="1:8" s="33" customFormat="1" ht="64.5" customHeight="1">
      <c r="A89" s="86" t="s">
        <v>496</v>
      </c>
      <c r="B89" s="87">
        <v>717</v>
      </c>
      <c r="C89" s="79" t="s">
        <v>7</v>
      </c>
      <c r="D89" s="79" t="s">
        <v>25</v>
      </c>
      <c r="E89" s="79" t="s">
        <v>68</v>
      </c>
      <c r="F89" s="79" t="s">
        <v>27</v>
      </c>
      <c r="G89" s="88">
        <f>1304350/1000</f>
        <v>1304.35</v>
      </c>
      <c r="H89" s="88">
        <f>1304350/1000</f>
        <v>1304.35</v>
      </c>
    </row>
    <row r="90" spans="1:8" s="33" customFormat="1" ht="26.25" customHeight="1">
      <c r="A90" s="125" t="s">
        <v>296</v>
      </c>
      <c r="B90" s="126" t="s">
        <v>409</v>
      </c>
      <c r="C90" s="126" t="s">
        <v>7</v>
      </c>
      <c r="D90" s="126" t="s">
        <v>12</v>
      </c>
      <c r="E90" s="127" t="s">
        <v>410</v>
      </c>
      <c r="F90" s="127" t="s">
        <v>16</v>
      </c>
      <c r="G90" s="85">
        <f aca="true" t="shared" si="9" ref="G90:H93">G91</f>
        <v>200</v>
      </c>
      <c r="H90" s="85">
        <f t="shared" si="9"/>
        <v>200</v>
      </c>
    </row>
    <row r="91" spans="1:8" s="33" customFormat="1" ht="38.25" customHeight="1">
      <c r="A91" s="93" t="s">
        <v>389</v>
      </c>
      <c r="B91" s="94" t="s">
        <v>409</v>
      </c>
      <c r="C91" s="94" t="s">
        <v>7</v>
      </c>
      <c r="D91" s="94" t="s">
        <v>12</v>
      </c>
      <c r="E91" s="95" t="s">
        <v>425</v>
      </c>
      <c r="F91" s="95" t="s">
        <v>16</v>
      </c>
      <c r="G91" s="61">
        <f t="shared" si="9"/>
        <v>200</v>
      </c>
      <c r="H91" s="61">
        <f t="shared" si="9"/>
        <v>200</v>
      </c>
    </row>
    <row r="92" spans="1:8" s="33" customFormat="1" ht="63.75" customHeight="1">
      <c r="A92" s="96" t="s">
        <v>368</v>
      </c>
      <c r="B92" s="97" t="s">
        <v>409</v>
      </c>
      <c r="C92" s="97" t="s">
        <v>7</v>
      </c>
      <c r="D92" s="97" t="s">
        <v>12</v>
      </c>
      <c r="E92" s="98" t="s">
        <v>425</v>
      </c>
      <c r="F92" s="98" t="s">
        <v>83</v>
      </c>
      <c r="G92" s="35">
        <f t="shared" si="9"/>
        <v>200</v>
      </c>
      <c r="H92" s="35">
        <f t="shared" si="9"/>
        <v>200</v>
      </c>
    </row>
    <row r="93" spans="1:8" s="33" customFormat="1" ht="45">
      <c r="A93" s="96" t="s">
        <v>369</v>
      </c>
      <c r="B93" s="97" t="s">
        <v>409</v>
      </c>
      <c r="C93" s="97" t="s">
        <v>7</v>
      </c>
      <c r="D93" s="97" t="s">
        <v>12</v>
      </c>
      <c r="E93" s="98" t="s">
        <v>425</v>
      </c>
      <c r="F93" s="98" t="s">
        <v>32</v>
      </c>
      <c r="G93" s="35">
        <f t="shared" si="9"/>
        <v>200</v>
      </c>
      <c r="H93" s="35">
        <f t="shared" si="9"/>
        <v>200</v>
      </c>
    </row>
    <row r="94" spans="1:8" s="33" customFormat="1" ht="89.25" customHeight="1">
      <c r="A94" s="96" t="s">
        <v>370</v>
      </c>
      <c r="B94" s="97" t="s">
        <v>409</v>
      </c>
      <c r="C94" s="97" t="s">
        <v>7</v>
      </c>
      <c r="D94" s="97" t="s">
        <v>12</v>
      </c>
      <c r="E94" s="98" t="s">
        <v>425</v>
      </c>
      <c r="F94" s="98" t="s">
        <v>27</v>
      </c>
      <c r="G94" s="35">
        <f>200000/1000</f>
        <v>200</v>
      </c>
      <c r="H94" s="35">
        <f>200000/1000</f>
        <v>200</v>
      </c>
    </row>
    <row r="95" spans="1:8" s="33" customFormat="1" ht="28.5">
      <c r="A95" s="122" t="s">
        <v>276</v>
      </c>
      <c r="B95" s="123" t="s">
        <v>409</v>
      </c>
      <c r="C95" s="123" t="s">
        <v>10</v>
      </c>
      <c r="D95" s="123" t="s">
        <v>3</v>
      </c>
      <c r="E95" s="124" t="s">
        <v>410</v>
      </c>
      <c r="F95" s="124" t="s">
        <v>16</v>
      </c>
      <c r="G95" s="82">
        <f>G96+G111+G127</f>
        <v>39704.026</v>
      </c>
      <c r="H95" s="82">
        <f>H96+H111+H127</f>
        <v>20572.2</v>
      </c>
    </row>
    <row r="96" spans="1:8" s="33" customFormat="1" ht="15">
      <c r="A96" s="125" t="s">
        <v>1</v>
      </c>
      <c r="B96" s="126" t="s">
        <v>409</v>
      </c>
      <c r="C96" s="126" t="s">
        <v>10</v>
      </c>
      <c r="D96" s="126" t="s">
        <v>8</v>
      </c>
      <c r="E96" s="127" t="s">
        <v>410</v>
      </c>
      <c r="F96" s="127" t="s">
        <v>16</v>
      </c>
      <c r="G96" s="85">
        <f>G97+G101+G107</f>
        <v>4580</v>
      </c>
      <c r="H96" s="85">
        <f>H97+H101+H107</f>
        <v>1280</v>
      </c>
    </row>
    <row r="97" spans="1:8" s="33" customFormat="1" ht="42.75">
      <c r="A97" s="93" t="s">
        <v>391</v>
      </c>
      <c r="B97" s="94" t="s">
        <v>409</v>
      </c>
      <c r="C97" s="94" t="s">
        <v>10</v>
      </c>
      <c r="D97" s="94" t="s">
        <v>8</v>
      </c>
      <c r="E97" s="95" t="s">
        <v>427</v>
      </c>
      <c r="F97" s="95" t="s">
        <v>16</v>
      </c>
      <c r="G97" s="61">
        <f aca="true" t="shared" si="10" ref="G97:H99">G98</f>
        <v>2300</v>
      </c>
      <c r="H97" s="61">
        <f t="shared" si="10"/>
        <v>0</v>
      </c>
    </row>
    <row r="98" spans="1:8" s="33" customFormat="1" ht="50.25" customHeight="1">
      <c r="A98" s="96" t="s">
        <v>368</v>
      </c>
      <c r="B98" s="97" t="s">
        <v>409</v>
      </c>
      <c r="C98" s="97" t="s">
        <v>10</v>
      </c>
      <c r="D98" s="97" t="s">
        <v>8</v>
      </c>
      <c r="E98" s="98" t="s">
        <v>427</v>
      </c>
      <c r="F98" s="98" t="s">
        <v>83</v>
      </c>
      <c r="G98" s="35">
        <f t="shared" si="10"/>
        <v>2300</v>
      </c>
      <c r="H98" s="35">
        <f t="shared" si="10"/>
        <v>0</v>
      </c>
    </row>
    <row r="99" spans="1:8" s="33" customFormat="1" ht="51.75" customHeight="1">
      <c r="A99" s="96" t="s">
        <v>369</v>
      </c>
      <c r="B99" s="97" t="s">
        <v>409</v>
      </c>
      <c r="C99" s="97" t="s">
        <v>10</v>
      </c>
      <c r="D99" s="97" t="s">
        <v>8</v>
      </c>
      <c r="E99" s="98" t="s">
        <v>427</v>
      </c>
      <c r="F99" s="98" t="s">
        <v>32</v>
      </c>
      <c r="G99" s="35">
        <f t="shared" si="10"/>
        <v>2300</v>
      </c>
      <c r="H99" s="35">
        <f t="shared" si="10"/>
        <v>0</v>
      </c>
    </row>
    <row r="100" spans="1:8" s="33" customFormat="1" ht="52.5" customHeight="1">
      <c r="A100" s="96" t="s">
        <v>370</v>
      </c>
      <c r="B100" s="97" t="s">
        <v>409</v>
      </c>
      <c r="C100" s="97" t="s">
        <v>10</v>
      </c>
      <c r="D100" s="97" t="s">
        <v>8</v>
      </c>
      <c r="E100" s="98" t="s">
        <v>427</v>
      </c>
      <c r="F100" s="98" t="s">
        <v>27</v>
      </c>
      <c r="G100" s="35">
        <f>2300000/1000</f>
        <v>2300</v>
      </c>
      <c r="H100" s="35">
        <v>0</v>
      </c>
    </row>
    <row r="101" spans="1:8" s="33" customFormat="1" ht="52.5" customHeight="1">
      <c r="A101" s="93" t="s">
        <v>456</v>
      </c>
      <c r="B101" s="94" t="s">
        <v>409</v>
      </c>
      <c r="C101" s="94" t="s">
        <v>10</v>
      </c>
      <c r="D101" s="94" t="s">
        <v>8</v>
      </c>
      <c r="E101" s="95" t="s">
        <v>428</v>
      </c>
      <c r="F101" s="95" t="s">
        <v>16</v>
      </c>
      <c r="G101" s="61">
        <f aca="true" t="shared" si="11" ref="G101:H103">G102</f>
        <v>0</v>
      </c>
      <c r="H101" s="61">
        <f t="shared" si="11"/>
        <v>0</v>
      </c>
    </row>
    <row r="102" spans="1:8" s="33" customFormat="1" ht="50.25" customHeight="1">
      <c r="A102" s="96" t="s">
        <v>98</v>
      </c>
      <c r="B102" s="97" t="s">
        <v>409</v>
      </c>
      <c r="C102" s="97" t="s">
        <v>10</v>
      </c>
      <c r="D102" s="97" t="s">
        <v>8</v>
      </c>
      <c r="E102" s="98" t="s">
        <v>428</v>
      </c>
      <c r="F102" s="98" t="s">
        <v>99</v>
      </c>
      <c r="G102" s="35">
        <f t="shared" si="11"/>
        <v>0</v>
      </c>
      <c r="H102" s="35">
        <f t="shared" si="11"/>
        <v>0</v>
      </c>
    </row>
    <row r="103" spans="1:8" s="33" customFormat="1" ht="51.75" customHeight="1">
      <c r="A103" s="96" t="s">
        <v>100</v>
      </c>
      <c r="B103" s="97" t="s">
        <v>409</v>
      </c>
      <c r="C103" s="97" t="s">
        <v>10</v>
      </c>
      <c r="D103" s="97" t="s">
        <v>8</v>
      </c>
      <c r="E103" s="98" t="s">
        <v>428</v>
      </c>
      <c r="F103" s="98" t="s">
        <v>101</v>
      </c>
      <c r="G103" s="35">
        <f t="shared" si="11"/>
        <v>0</v>
      </c>
      <c r="H103" s="35">
        <f t="shared" si="11"/>
        <v>0</v>
      </c>
    </row>
    <row r="104" spans="1:8" s="33" customFormat="1" ht="39" customHeight="1">
      <c r="A104" s="96" t="s">
        <v>462</v>
      </c>
      <c r="B104" s="97" t="s">
        <v>409</v>
      </c>
      <c r="C104" s="97" t="s">
        <v>10</v>
      </c>
      <c r="D104" s="97" t="s">
        <v>8</v>
      </c>
      <c r="E104" s="98" t="s">
        <v>428</v>
      </c>
      <c r="F104" s="98" t="s">
        <v>102</v>
      </c>
      <c r="G104" s="35">
        <f>SUM(G105:G106)</f>
        <v>0</v>
      </c>
      <c r="H104" s="35">
        <f>SUM(H105:H106)</f>
        <v>0</v>
      </c>
    </row>
    <row r="105" spans="1:8" s="33" customFormat="1" ht="37.5" customHeight="1">
      <c r="A105" s="86" t="s">
        <v>292</v>
      </c>
      <c r="B105" s="87">
        <v>717</v>
      </c>
      <c r="C105" s="79" t="s">
        <v>10</v>
      </c>
      <c r="D105" s="79" t="s">
        <v>8</v>
      </c>
      <c r="E105" s="79" t="s">
        <v>331</v>
      </c>
      <c r="F105" s="79" t="s">
        <v>102</v>
      </c>
      <c r="G105" s="88">
        <v>0</v>
      </c>
      <c r="H105" s="88">
        <v>0</v>
      </c>
    </row>
    <row r="106" spans="1:8" s="33" customFormat="1" ht="39" customHeight="1">
      <c r="A106" s="86" t="s">
        <v>293</v>
      </c>
      <c r="B106" s="87">
        <v>717</v>
      </c>
      <c r="C106" s="79" t="s">
        <v>10</v>
      </c>
      <c r="D106" s="79" t="s">
        <v>8</v>
      </c>
      <c r="E106" s="79" t="s">
        <v>331</v>
      </c>
      <c r="F106" s="79" t="s">
        <v>102</v>
      </c>
      <c r="G106" s="88">
        <v>0</v>
      </c>
      <c r="H106" s="88">
        <v>0</v>
      </c>
    </row>
    <row r="107" spans="1:8" s="33" customFormat="1" ht="26.25" customHeight="1">
      <c r="A107" s="93" t="s">
        <v>389</v>
      </c>
      <c r="B107" s="94" t="s">
        <v>409</v>
      </c>
      <c r="C107" s="94" t="s">
        <v>10</v>
      </c>
      <c r="D107" s="94" t="s">
        <v>8</v>
      </c>
      <c r="E107" s="95" t="s">
        <v>425</v>
      </c>
      <c r="F107" s="95" t="s">
        <v>16</v>
      </c>
      <c r="G107" s="61">
        <f>G108</f>
        <v>2280</v>
      </c>
      <c r="H107" s="61">
        <f>H108</f>
        <v>1280</v>
      </c>
    </row>
    <row r="108" spans="1:8" s="33" customFormat="1" ht="14.25" customHeight="1">
      <c r="A108" s="96" t="s">
        <v>368</v>
      </c>
      <c r="B108" s="97" t="s">
        <v>409</v>
      </c>
      <c r="C108" s="97" t="s">
        <v>10</v>
      </c>
      <c r="D108" s="97" t="s">
        <v>8</v>
      </c>
      <c r="E108" s="98" t="s">
        <v>425</v>
      </c>
      <c r="F108" s="98" t="s">
        <v>83</v>
      </c>
      <c r="G108" s="35">
        <f>G109</f>
        <v>2280</v>
      </c>
      <c r="H108" s="35">
        <f>H109</f>
        <v>1280</v>
      </c>
    </row>
    <row r="109" spans="1:8" s="33" customFormat="1" ht="45">
      <c r="A109" s="96" t="s">
        <v>369</v>
      </c>
      <c r="B109" s="97" t="s">
        <v>409</v>
      </c>
      <c r="C109" s="97" t="s">
        <v>10</v>
      </c>
      <c r="D109" s="97" t="s">
        <v>8</v>
      </c>
      <c r="E109" s="98" t="s">
        <v>425</v>
      </c>
      <c r="F109" s="98" t="s">
        <v>32</v>
      </c>
      <c r="G109" s="35">
        <f>SUM(G110:G110)</f>
        <v>2280</v>
      </c>
      <c r="H109" s="35">
        <f>SUM(H110:H110)</f>
        <v>1280</v>
      </c>
    </row>
    <row r="110" spans="1:8" s="33" customFormat="1" ht="15">
      <c r="A110" s="96" t="s">
        <v>370</v>
      </c>
      <c r="B110" s="97" t="s">
        <v>409</v>
      </c>
      <c r="C110" s="97" t="s">
        <v>10</v>
      </c>
      <c r="D110" s="97" t="s">
        <v>8</v>
      </c>
      <c r="E110" s="98" t="s">
        <v>425</v>
      </c>
      <c r="F110" s="98" t="s">
        <v>27</v>
      </c>
      <c r="G110" s="35">
        <f>2280000/1000</f>
        <v>2280</v>
      </c>
      <c r="H110" s="35">
        <f>1280000/1000</f>
        <v>1280</v>
      </c>
    </row>
    <row r="111" spans="1:8" s="33" customFormat="1" ht="15">
      <c r="A111" s="125" t="s">
        <v>21</v>
      </c>
      <c r="B111" s="126" t="s">
        <v>409</v>
      </c>
      <c r="C111" s="126" t="s">
        <v>10</v>
      </c>
      <c r="D111" s="126" t="s">
        <v>11</v>
      </c>
      <c r="E111" s="127" t="s">
        <v>410</v>
      </c>
      <c r="F111" s="127" t="s">
        <v>16</v>
      </c>
      <c r="G111" s="85">
        <f>G112+G118+G123</f>
        <v>18331.826</v>
      </c>
      <c r="H111" s="85">
        <f>H112+H118+H123</f>
        <v>2500</v>
      </c>
    </row>
    <row r="112" spans="1:8" s="33" customFormat="1" ht="28.5">
      <c r="A112" s="93" t="s">
        <v>392</v>
      </c>
      <c r="B112" s="94" t="s">
        <v>409</v>
      </c>
      <c r="C112" s="94" t="s">
        <v>10</v>
      </c>
      <c r="D112" s="94" t="s">
        <v>11</v>
      </c>
      <c r="E112" s="95" t="s">
        <v>429</v>
      </c>
      <c r="F112" s="95" t="s">
        <v>16</v>
      </c>
      <c r="G112" s="61">
        <f>G113+G116</f>
        <v>4650</v>
      </c>
      <c r="H112" s="61">
        <f>H113+H116</f>
        <v>0</v>
      </c>
    </row>
    <row r="113" spans="1:8" s="33" customFormat="1" ht="45">
      <c r="A113" s="96" t="s">
        <v>368</v>
      </c>
      <c r="B113" s="97" t="s">
        <v>409</v>
      </c>
      <c r="C113" s="97" t="s">
        <v>10</v>
      </c>
      <c r="D113" s="97" t="s">
        <v>11</v>
      </c>
      <c r="E113" s="98" t="s">
        <v>429</v>
      </c>
      <c r="F113" s="98" t="s">
        <v>83</v>
      </c>
      <c r="G113" s="35">
        <f>G114</f>
        <v>150</v>
      </c>
      <c r="H113" s="35">
        <f>H114</f>
        <v>0</v>
      </c>
    </row>
    <row r="114" spans="1:8" s="33" customFormat="1" ht="61.5" customHeight="1">
      <c r="A114" s="96" t="s">
        <v>369</v>
      </c>
      <c r="B114" s="97" t="s">
        <v>409</v>
      </c>
      <c r="C114" s="97" t="s">
        <v>10</v>
      </c>
      <c r="D114" s="97" t="s">
        <v>11</v>
      </c>
      <c r="E114" s="98" t="s">
        <v>429</v>
      </c>
      <c r="F114" s="98" t="s">
        <v>32</v>
      </c>
      <c r="G114" s="35">
        <f>G115</f>
        <v>150</v>
      </c>
      <c r="H114" s="35">
        <f>H115</f>
        <v>0</v>
      </c>
    </row>
    <row r="115" spans="1:8" s="33" customFormat="1" ht="39.75" customHeight="1">
      <c r="A115" s="96" t="s">
        <v>370</v>
      </c>
      <c r="B115" s="97" t="s">
        <v>409</v>
      </c>
      <c r="C115" s="97" t="s">
        <v>10</v>
      </c>
      <c r="D115" s="97" t="s">
        <v>11</v>
      </c>
      <c r="E115" s="98" t="s">
        <v>429</v>
      </c>
      <c r="F115" s="98" t="s">
        <v>27</v>
      </c>
      <c r="G115" s="35">
        <f>150000/1000</f>
        <v>150</v>
      </c>
      <c r="H115" s="35">
        <v>0</v>
      </c>
    </row>
    <row r="116" spans="1:8" s="33" customFormat="1" ht="45">
      <c r="A116" s="96" t="s">
        <v>98</v>
      </c>
      <c r="B116" s="97" t="s">
        <v>409</v>
      </c>
      <c r="C116" s="97" t="s">
        <v>10</v>
      </c>
      <c r="D116" s="97" t="s">
        <v>11</v>
      </c>
      <c r="E116" s="98" t="s">
        <v>429</v>
      </c>
      <c r="F116" s="98" t="s">
        <v>99</v>
      </c>
      <c r="G116" s="35">
        <f>G117</f>
        <v>4500</v>
      </c>
      <c r="H116" s="35">
        <f>H117</f>
        <v>0</v>
      </c>
    </row>
    <row r="117" spans="1:8" s="33" customFormat="1" ht="60">
      <c r="A117" s="96" t="s">
        <v>462</v>
      </c>
      <c r="B117" s="97" t="s">
        <v>409</v>
      </c>
      <c r="C117" s="97" t="s">
        <v>10</v>
      </c>
      <c r="D117" s="97" t="s">
        <v>11</v>
      </c>
      <c r="E117" s="98" t="s">
        <v>429</v>
      </c>
      <c r="F117" s="98" t="s">
        <v>102</v>
      </c>
      <c r="G117" s="35">
        <f>4500000/1000</f>
        <v>4500</v>
      </c>
      <c r="H117" s="35">
        <v>0</v>
      </c>
    </row>
    <row r="118" spans="1:8" s="33" customFormat="1" ht="26.25" customHeight="1">
      <c r="A118" s="93" t="s">
        <v>393</v>
      </c>
      <c r="B118" s="94" t="s">
        <v>409</v>
      </c>
      <c r="C118" s="94" t="s">
        <v>10</v>
      </c>
      <c r="D118" s="94" t="s">
        <v>11</v>
      </c>
      <c r="E118" s="95" t="s">
        <v>430</v>
      </c>
      <c r="F118" s="95" t="s">
        <v>16</v>
      </c>
      <c r="G118" s="61">
        <f>G119</f>
        <v>3629</v>
      </c>
      <c r="H118" s="61">
        <f>H119</f>
        <v>0</v>
      </c>
    </row>
    <row r="119" spans="1:8" s="33" customFormat="1" ht="45">
      <c r="A119" s="96" t="s">
        <v>368</v>
      </c>
      <c r="B119" s="97" t="s">
        <v>409</v>
      </c>
      <c r="C119" s="97" t="s">
        <v>10</v>
      </c>
      <c r="D119" s="97" t="s">
        <v>11</v>
      </c>
      <c r="E119" s="98" t="s">
        <v>430</v>
      </c>
      <c r="F119" s="98" t="s">
        <v>83</v>
      </c>
      <c r="G119" s="35">
        <f>G120</f>
        <v>3629</v>
      </c>
      <c r="H119" s="35">
        <f>H120</f>
        <v>0</v>
      </c>
    </row>
    <row r="120" spans="1:8" s="33" customFormat="1" ht="45">
      <c r="A120" s="96" t="s">
        <v>369</v>
      </c>
      <c r="B120" s="97" t="s">
        <v>409</v>
      </c>
      <c r="C120" s="97" t="s">
        <v>10</v>
      </c>
      <c r="D120" s="97" t="s">
        <v>11</v>
      </c>
      <c r="E120" s="98" t="s">
        <v>430</v>
      </c>
      <c r="F120" s="98" t="s">
        <v>32</v>
      </c>
      <c r="G120" s="35">
        <f>SUM(G121:G122)</f>
        <v>3629</v>
      </c>
      <c r="H120" s="35">
        <f>SUM(H121:H122)</f>
        <v>0</v>
      </c>
    </row>
    <row r="121" spans="1:8" s="33" customFormat="1" ht="17.25" customHeight="1">
      <c r="A121" s="96" t="s">
        <v>370</v>
      </c>
      <c r="B121" s="97" t="s">
        <v>409</v>
      </c>
      <c r="C121" s="97" t="s">
        <v>10</v>
      </c>
      <c r="D121" s="97" t="s">
        <v>11</v>
      </c>
      <c r="E121" s="98" t="s">
        <v>430</v>
      </c>
      <c r="F121" s="98" t="s">
        <v>27</v>
      </c>
      <c r="G121" s="35">
        <f>1000000/1000</f>
        <v>1000</v>
      </c>
      <c r="H121" s="35">
        <v>0</v>
      </c>
    </row>
    <row r="122" spans="1:8" s="33" customFormat="1" ht="15">
      <c r="A122" s="96" t="s">
        <v>371</v>
      </c>
      <c r="B122" s="97" t="s">
        <v>409</v>
      </c>
      <c r="C122" s="97" t="s">
        <v>10</v>
      </c>
      <c r="D122" s="97" t="s">
        <v>11</v>
      </c>
      <c r="E122" s="98" t="s">
        <v>430</v>
      </c>
      <c r="F122" s="98" t="s">
        <v>87</v>
      </c>
      <c r="G122" s="35">
        <f>2629000/1000</f>
        <v>2629</v>
      </c>
      <c r="H122" s="35">
        <v>0</v>
      </c>
    </row>
    <row r="123" spans="1:8" s="33" customFormat="1" ht="40.5" customHeight="1">
      <c r="A123" s="93" t="s">
        <v>394</v>
      </c>
      <c r="B123" s="94" t="s">
        <v>409</v>
      </c>
      <c r="C123" s="94" t="s">
        <v>10</v>
      </c>
      <c r="D123" s="94" t="s">
        <v>11</v>
      </c>
      <c r="E123" s="95" t="s">
        <v>431</v>
      </c>
      <c r="F123" s="95" t="s">
        <v>16</v>
      </c>
      <c r="G123" s="61">
        <f aca="true" t="shared" si="12" ref="G123:H125">G124</f>
        <v>10052.826</v>
      </c>
      <c r="H123" s="61">
        <f t="shared" si="12"/>
        <v>2500</v>
      </c>
    </row>
    <row r="124" spans="1:8" s="33" customFormat="1" ht="39" customHeight="1">
      <c r="A124" s="96" t="s">
        <v>368</v>
      </c>
      <c r="B124" s="97" t="s">
        <v>409</v>
      </c>
      <c r="C124" s="97" t="s">
        <v>10</v>
      </c>
      <c r="D124" s="97" t="s">
        <v>11</v>
      </c>
      <c r="E124" s="98" t="s">
        <v>431</v>
      </c>
      <c r="F124" s="98" t="s">
        <v>83</v>
      </c>
      <c r="G124" s="35">
        <f t="shared" si="12"/>
        <v>10052.826</v>
      </c>
      <c r="H124" s="35">
        <f t="shared" si="12"/>
        <v>2500</v>
      </c>
    </row>
    <row r="125" spans="1:8" s="33" customFormat="1" ht="39" customHeight="1">
      <c r="A125" s="96" t="s">
        <v>369</v>
      </c>
      <c r="B125" s="97" t="s">
        <v>409</v>
      </c>
      <c r="C125" s="97" t="s">
        <v>10</v>
      </c>
      <c r="D125" s="97" t="s">
        <v>11</v>
      </c>
      <c r="E125" s="98" t="s">
        <v>431</v>
      </c>
      <c r="F125" s="98" t="s">
        <v>32</v>
      </c>
      <c r="G125" s="35">
        <f t="shared" si="12"/>
        <v>10052.826</v>
      </c>
      <c r="H125" s="35">
        <f t="shared" si="12"/>
        <v>2500</v>
      </c>
    </row>
    <row r="126" spans="1:8" s="33" customFormat="1" ht="38.25" customHeight="1">
      <c r="A126" s="96" t="s">
        <v>370</v>
      </c>
      <c r="B126" s="97" t="s">
        <v>409</v>
      </c>
      <c r="C126" s="97" t="s">
        <v>10</v>
      </c>
      <c r="D126" s="97" t="s">
        <v>11</v>
      </c>
      <c r="E126" s="98" t="s">
        <v>431</v>
      </c>
      <c r="F126" s="98" t="s">
        <v>27</v>
      </c>
      <c r="G126" s="35">
        <f>10052826/1000</f>
        <v>10052.826</v>
      </c>
      <c r="H126" s="35">
        <f>2500000/1000</f>
        <v>2500</v>
      </c>
    </row>
    <row r="127" spans="1:8" s="33" customFormat="1" ht="28.5">
      <c r="A127" s="125" t="s">
        <v>299</v>
      </c>
      <c r="B127" s="126" t="s">
        <v>409</v>
      </c>
      <c r="C127" s="126" t="s">
        <v>10</v>
      </c>
      <c r="D127" s="126" t="s">
        <v>10</v>
      </c>
      <c r="E127" s="127" t="s">
        <v>410</v>
      </c>
      <c r="F127" s="127" t="s">
        <v>16</v>
      </c>
      <c r="G127" s="85">
        <f>G128+G137+G142</f>
        <v>16792.2</v>
      </c>
      <c r="H127" s="85">
        <f>H128+H137+H142</f>
        <v>16792.2</v>
      </c>
    </row>
    <row r="128" spans="1:8" s="33" customFormat="1" ht="89.25" customHeight="1">
      <c r="A128" s="93" t="s">
        <v>380</v>
      </c>
      <c r="B128" s="94" t="s">
        <v>409</v>
      </c>
      <c r="C128" s="94" t="s">
        <v>10</v>
      </c>
      <c r="D128" s="94" t="s">
        <v>10</v>
      </c>
      <c r="E128" s="95" t="s">
        <v>417</v>
      </c>
      <c r="F128" s="95" t="s">
        <v>16</v>
      </c>
      <c r="G128" s="61">
        <f>G129+G133</f>
        <v>16132.2</v>
      </c>
      <c r="H128" s="61">
        <f>H129+H133</f>
        <v>16132.2</v>
      </c>
    </row>
    <row r="129" spans="1:8" s="33" customFormat="1" ht="15.75" customHeight="1">
      <c r="A129" s="96" t="s">
        <v>364</v>
      </c>
      <c r="B129" s="97" t="s">
        <v>409</v>
      </c>
      <c r="C129" s="97" t="s">
        <v>10</v>
      </c>
      <c r="D129" s="97" t="s">
        <v>10</v>
      </c>
      <c r="E129" s="98" t="s">
        <v>417</v>
      </c>
      <c r="F129" s="98" t="s">
        <v>411</v>
      </c>
      <c r="G129" s="35">
        <f>G130</f>
        <v>13112.2</v>
      </c>
      <c r="H129" s="35">
        <f>H130</f>
        <v>13112.2</v>
      </c>
    </row>
    <row r="130" spans="1:8" s="33" customFormat="1" ht="30">
      <c r="A130" s="96" t="s">
        <v>395</v>
      </c>
      <c r="B130" s="97" t="s">
        <v>409</v>
      </c>
      <c r="C130" s="97" t="s">
        <v>10</v>
      </c>
      <c r="D130" s="97" t="s">
        <v>10</v>
      </c>
      <c r="E130" s="98" t="s">
        <v>417</v>
      </c>
      <c r="F130" s="98" t="s">
        <v>54</v>
      </c>
      <c r="G130" s="35">
        <f>SUM(G131:G132)</f>
        <v>13112.2</v>
      </c>
      <c r="H130" s="35">
        <f>SUM(H131:H132)</f>
        <v>13112.2</v>
      </c>
    </row>
    <row r="131" spans="1:8" s="33" customFormat="1" ht="15">
      <c r="A131" s="96" t="s">
        <v>396</v>
      </c>
      <c r="B131" s="97" t="s">
        <v>409</v>
      </c>
      <c r="C131" s="97" t="s">
        <v>10</v>
      </c>
      <c r="D131" s="97" t="s">
        <v>10</v>
      </c>
      <c r="E131" s="98" t="s">
        <v>417</v>
      </c>
      <c r="F131" s="98" t="s">
        <v>31</v>
      </c>
      <c r="G131" s="35">
        <f>10047600/1000</f>
        <v>10047.6</v>
      </c>
      <c r="H131" s="35">
        <f>10047600/1000</f>
        <v>10047.6</v>
      </c>
    </row>
    <row r="132" spans="1:8" s="33" customFormat="1" ht="25.5" customHeight="1">
      <c r="A132" s="96" t="s">
        <v>397</v>
      </c>
      <c r="B132" s="97" t="s">
        <v>409</v>
      </c>
      <c r="C132" s="97" t="s">
        <v>10</v>
      </c>
      <c r="D132" s="97" t="s">
        <v>10</v>
      </c>
      <c r="E132" s="98" t="s">
        <v>417</v>
      </c>
      <c r="F132" s="98" t="s">
        <v>53</v>
      </c>
      <c r="G132" s="35">
        <f>3064600/1000</f>
        <v>3064.6</v>
      </c>
      <c r="H132" s="35">
        <f>3064600/1000</f>
        <v>3064.6</v>
      </c>
    </row>
    <row r="133" spans="1:8" s="33" customFormat="1" ht="45">
      <c r="A133" s="96" t="s">
        <v>368</v>
      </c>
      <c r="B133" s="97" t="s">
        <v>409</v>
      </c>
      <c r="C133" s="97" t="s">
        <v>10</v>
      </c>
      <c r="D133" s="97" t="s">
        <v>10</v>
      </c>
      <c r="E133" s="98" t="s">
        <v>417</v>
      </c>
      <c r="F133" s="98" t="s">
        <v>83</v>
      </c>
      <c r="G133" s="35">
        <f>G134</f>
        <v>3020</v>
      </c>
      <c r="H133" s="35">
        <f>H134</f>
        <v>3020</v>
      </c>
    </row>
    <row r="134" spans="1:8" s="33" customFormat="1" ht="41.25" customHeight="1">
      <c r="A134" s="96" t="s">
        <v>369</v>
      </c>
      <c r="B134" s="97" t="s">
        <v>409</v>
      </c>
      <c r="C134" s="97" t="s">
        <v>10</v>
      </c>
      <c r="D134" s="97" t="s">
        <v>10</v>
      </c>
      <c r="E134" s="98" t="s">
        <v>417</v>
      </c>
      <c r="F134" s="98" t="s">
        <v>32</v>
      </c>
      <c r="G134" s="35">
        <f>SUM(G135:G136)</f>
        <v>3020</v>
      </c>
      <c r="H134" s="35">
        <f>SUM(H135:H136)</f>
        <v>3020</v>
      </c>
    </row>
    <row r="135" spans="1:8" s="33" customFormat="1" ht="51.75" customHeight="1">
      <c r="A135" s="96" t="s">
        <v>370</v>
      </c>
      <c r="B135" s="97" t="s">
        <v>409</v>
      </c>
      <c r="C135" s="97" t="s">
        <v>10</v>
      </c>
      <c r="D135" s="97" t="s">
        <v>10</v>
      </c>
      <c r="E135" s="98" t="s">
        <v>417</v>
      </c>
      <c r="F135" s="98" t="s">
        <v>27</v>
      </c>
      <c r="G135" s="35">
        <f>3000000/1000</f>
        <v>3000</v>
      </c>
      <c r="H135" s="35">
        <f>3000000/1000</f>
        <v>3000</v>
      </c>
    </row>
    <row r="136" spans="1:8" s="33" customFormat="1" ht="15" customHeight="1">
      <c r="A136" s="96" t="s">
        <v>371</v>
      </c>
      <c r="B136" s="97" t="s">
        <v>409</v>
      </c>
      <c r="C136" s="97" t="s">
        <v>10</v>
      </c>
      <c r="D136" s="97" t="s">
        <v>10</v>
      </c>
      <c r="E136" s="98" t="s">
        <v>417</v>
      </c>
      <c r="F136" s="98" t="s">
        <v>87</v>
      </c>
      <c r="G136" s="35">
        <f>20000/1000</f>
        <v>20</v>
      </c>
      <c r="H136" s="35">
        <f>20000/1000</f>
        <v>20</v>
      </c>
    </row>
    <row r="137" spans="1:8" s="33" customFormat="1" ht="87.75" customHeight="1">
      <c r="A137" s="93" t="s">
        <v>381</v>
      </c>
      <c r="B137" s="94" t="s">
        <v>409</v>
      </c>
      <c r="C137" s="94" t="s">
        <v>10</v>
      </c>
      <c r="D137" s="94" t="s">
        <v>10</v>
      </c>
      <c r="E137" s="95" t="s">
        <v>418</v>
      </c>
      <c r="F137" s="95" t="s">
        <v>16</v>
      </c>
      <c r="G137" s="61">
        <f>G138</f>
        <v>440</v>
      </c>
      <c r="H137" s="61">
        <f>H138</f>
        <v>440</v>
      </c>
    </row>
    <row r="138" spans="1:8" s="34" customFormat="1" ht="45">
      <c r="A138" s="96" t="s">
        <v>368</v>
      </c>
      <c r="B138" s="97" t="s">
        <v>409</v>
      </c>
      <c r="C138" s="97" t="s">
        <v>10</v>
      </c>
      <c r="D138" s="97" t="s">
        <v>10</v>
      </c>
      <c r="E138" s="98" t="s">
        <v>418</v>
      </c>
      <c r="F138" s="98" t="s">
        <v>83</v>
      </c>
      <c r="G138" s="35">
        <f>G139</f>
        <v>440</v>
      </c>
      <c r="H138" s="35">
        <f>H139</f>
        <v>440</v>
      </c>
    </row>
    <row r="139" spans="1:8" s="33" customFormat="1" ht="45">
      <c r="A139" s="96" t="s">
        <v>369</v>
      </c>
      <c r="B139" s="97" t="s">
        <v>409</v>
      </c>
      <c r="C139" s="97" t="s">
        <v>10</v>
      </c>
      <c r="D139" s="97" t="s">
        <v>10</v>
      </c>
      <c r="E139" s="98" t="s">
        <v>418</v>
      </c>
      <c r="F139" s="98" t="s">
        <v>32</v>
      </c>
      <c r="G139" s="35">
        <f>SUM(G140:G141)</f>
        <v>440</v>
      </c>
      <c r="H139" s="35">
        <f>SUM(H140:H141)</f>
        <v>440</v>
      </c>
    </row>
    <row r="140" spans="1:8" s="33" customFormat="1" ht="15">
      <c r="A140" s="96" t="s">
        <v>370</v>
      </c>
      <c r="B140" s="97" t="s">
        <v>409</v>
      </c>
      <c r="C140" s="97" t="s">
        <v>10</v>
      </c>
      <c r="D140" s="97" t="s">
        <v>10</v>
      </c>
      <c r="E140" s="98" t="s">
        <v>418</v>
      </c>
      <c r="F140" s="98" t="s">
        <v>27</v>
      </c>
      <c r="G140" s="35">
        <f>140000/1000</f>
        <v>140</v>
      </c>
      <c r="H140" s="35">
        <f>140000/1000</f>
        <v>140</v>
      </c>
    </row>
    <row r="141" spans="1:8" s="33" customFormat="1" ht="15">
      <c r="A141" s="96" t="s">
        <v>371</v>
      </c>
      <c r="B141" s="97" t="s">
        <v>409</v>
      </c>
      <c r="C141" s="97" t="s">
        <v>10</v>
      </c>
      <c r="D141" s="97" t="s">
        <v>10</v>
      </c>
      <c r="E141" s="98" t="s">
        <v>418</v>
      </c>
      <c r="F141" s="98" t="s">
        <v>87</v>
      </c>
      <c r="G141" s="35">
        <f>300000/1000</f>
        <v>300</v>
      </c>
      <c r="H141" s="35">
        <f>300000/1000</f>
        <v>300</v>
      </c>
    </row>
    <row r="142" spans="1:8" s="33" customFormat="1" ht="36.75" customHeight="1">
      <c r="A142" s="93" t="s">
        <v>383</v>
      </c>
      <c r="B142" s="94" t="s">
        <v>409</v>
      </c>
      <c r="C142" s="94" t="s">
        <v>10</v>
      </c>
      <c r="D142" s="94" t="s">
        <v>10</v>
      </c>
      <c r="E142" s="95" t="s">
        <v>419</v>
      </c>
      <c r="F142" s="95" t="s">
        <v>16</v>
      </c>
      <c r="G142" s="61">
        <f aca="true" t="shared" si="13" ref="G142:H144">G143</f>
        <v>220</v>
      </c>
      <c r="H142" s="61">
        <f t="shared" si="13"/>
        <v>220</v>
      </c>
    </row>
    <row r="143" spans="1:8" s="33" customFormat="1" ht="45">
      <c r="A143" s="96" t="s">
        <v>368</v>
      </c>
      <c r="B143" s="97" t="s">
        <v>409</v>
      </c>
      <c r="C143" s="97" t="s">
        <v>10</v>
      </c>
      <c r="D143" s="97" t="s">
        <v>10</v>
      </c>
      <c r="E143" s="98" t="s">
        <v>419</v>
      </c>
      <c r="F143" s="98" t="s">
        <v>83</v>
      </c>
      <c r="G143" s="35">
        <f t="shared" si="13"/>
        <v>220</v>
      </c>
      <c r="H143" s="35">
        <f t="shared" si="13"/>
        <v>220</v>
      </c>
    </row>
    <row r="144" spans="1:8" s="34" customFormat="1" ht="45">
      <c r="A144" s="96" t="s">
        <v>369</v>
      </c>
      <c r="B144" s="97" t="s">
        <v>409</v>
      </c>
      <c r="C144" s="97" t="s">
        <v>10</v>
      </c>
      <c r="D144" s="97" t="s">
        <v>10</v>
      </c>
      <c r="E144" s="98" t="s">
        <v>419</v>
      </c>
      <c r="F144" s="98" t="s">
        <v>32</v>
      </c>
      <c r="G144" s="35">
        <f t="shared" si="13"/>
        <v>220</v>
      </c>
      <c r="H144" s="35">
        <f t="shared" si="13"/>
        <v>220</v>
      </c>
    </row>
    <row r="145" spans="1:8" s="33" customFormat="1" ht="19.5" customHeight="1">
      <c r="A145" s="96" t="s">
        <v>370</v>
      </c>
      <c r="B145" s="97" t="s">
        <v>409</v>
      </c>
      <c r="C145" s="97" t="s">
        <v>10</v>
      </c>
      <c r="D145" s="97" t="s">
        <v>10</v>
      </c>
      <c r="E145" s="98" t="s">
        <v>419</v>
      </c>
      <c r="F145" s="98" t="s">
        <v>27</v>
      </c>
      <c r="G145" s="35">
        <f>220000/1000</f>
        <v>220</v>
      </c>
      <c r="H145" s="35">
        <f>220000/1000</f>
        <v>220</v>
      </c>
    </row>
    <row r="146" spans="1:8" s="33" customFormat="1" ht="15">
      <c r="A146" s="122" t="s">
        <v>72</v>
      </c>
      <c r="B146" s="123" t="s">
        <v>409</v>
      </c>
      <c r="C146" s="123" t="s">
        <v>22</v>
      </c>
      <c r="D146" s="123" t="s">
        <v>3</v>
      </c>
      <c r="E146" s="124" t="s">
        <v>410</v>
      </c>
      <c r="F146" s="124" t="s">
        <v>16</v>
      </c>
      <c r="G146" s="82">
        <f>G147+G151</f>
        <v>250</v>
      </c>
      <c r="H146" s="82">
        <f>H147+H151</f>
        <v>250</v>
      </c>
    </row>
    <row r="147" spans="1:8" s="33" customFormat="1" ht="28.5">
      <c r="A147" s="93" t="s">
        <v>363</v>
      </c>
      <c r="B147" s="94" t="s">
        <v>409</v>
      </c>
      <c r="C147" s="94" t="s">
        <v>22</v>
      </c>
      <c r="D147" s="94" t="s">
        <v>10</v>
      </c>
      <c r="E147" s="95" t="s">
        <v>413</v>
      </c>
      <c r="F147" s="95" t="s">
        <v>16</v>
      </c>
      <c r="G147" s="61">
        <f aca="true" t="shared" si="14" ref="G147:H149">G148</f>
        <v>150</v>
      </c>
      <c r="H147" s="61">
        <f t="shared" si="14"/>
        <v>150</v>
      </c>
    </row>
    <row r="148" spans="1:8" s="33" customFormat="1" ht="29.25" customHeight="1">
      <c r="A148" s="96" t="s">
        <v>368</v>
      </c>
      <c r="B148" s="97" t="s">
        <v>409</v>
      </c>
      <c r="C148" s="97" t="s">
        <v>22</v>
      </c>
      <c r="D148" s="97" t="s">
        <v>10</v>
      </c>
      <c r="E148" s="98" t="s">
        <v>413</v>
      </c>
      <c r="F148" s="98" t="s">
        <v>83</v>
      </c>
      <c r="G148" s="35">
        <f t="shared" si="14"/>
        <v>150</v>
      </c>
      <c r="H148" s="35">
        <f t="shared" si="14"/>
        <v>150</v>
      </c>
    </row>
    <row r="149" spans="1:8" s="33" customFormat="1" ht="45">
      <c r="A149" s="96" t="s">
        <v>369</v>
      </c>
      <c r="B149" s="97" t="s">
        <v>409</v>
      </c>
      <c r="C149" s="97" t="s">
        <v>22</v>
      </c>
      <c r="D149" s="97" t="s">
        <v>10</v>
      </c>
      <c r="E149" s="98" t="s">
        <v>413</v>
      </c>
      <c r="F149" s="98" t="s">
        <v>32</v>
      </c>
      <c r="G149" s="35">
        <f t="shared" si="14"/>
        <v>150</v>
      </c>
      <c r="H149" s="35">
        <f t="shared" si="14"/>
        <v>150</v>
      </c>
    </row>
    <row r="150" spans="1:8" s="33" customFormat="1" ht="15">
      <c r="A150" s="96" t="s">
        <v>370</v>
      </c>
      <c r="B150" s="97" t="s">
        <v>409</v>
      </c>
      <c r="C150" s="97" t="s">
        <v>22</v>
      </c>
      <c r="D150" s="97" t="s">
        <v>10</v>
      </c>
      <c r="E150" s="98" t="s">
        <v>413</v>
      </c>
      <c r="F150" s="98" t="s">
        <v>27</v>
      </c>
      <c r="G150" s="35">
        <f>150000/1000</f>
        <v>150</v>
      </c>
      <c r="H150" s="35">
        <f>150000/1000</f>
        <v>150</v>
      </c>
    </row>
    <row r="151" spans="1:8" s="33" customFormat="1" ht="15">
      <c r="A151" s="93" t="s">
        <v>399</v>
      </c>
      <c r="B151" s="94" t="s">
        <v>409</v>
      </c>
      <c r="C151" s="94" t="s">
        <v>22</v>
      </c>
      <c r="D151" s="94" t="s">
        <v>22</v>
      </c>
      <c r="E151" s="95" t="s">
        <v>433</v>
      </c>
      <c r="F151" s="95" t="s">
        <v>16</v>
      </c>
      <c r="G151" s="61">
        <f aca="true" t="shared" si="15" ref="G151:H153">G152</f>
        <v>100</v>
      </c>
      <c r="H151" s="61">
        <f t="shared" si="15"/>
        <v>100</v>
      </c>
    </row>
    <row r="152" spans="1:8" s="33" customFormat="1" ht="51" customHeight="1">
      <c r="A152" s="96" t="s">
        <v>368</v>
      </c>
      <c r="B152" s="97" t="s">
        <v>409</v>
      </c>
      <c r="C152" s="97" t="s">
        <v>22</v>
      </c>
      <c r="D152" s="97" t="s">
        <v>22</v>
      </c>
      <c r="E152" s="98" t="s">
        <v>433</v>
      </c>
      <c r="F152" s="98" t="s">
        <v>83</v>
      </c>
      <c r="G152" s="35">
        <f t="shared" si="15"/>
        <v>100</v>
      </c>
      <c r="H152" s="35">
        <f t="shared" si="15"/>
        <v>100</v>
      </c>
    </row>
    <row r="153" spans="1:8" s="33" customFormat="1" ht="45">
      <c r="A153" s="96" t="s">
        <v>369</v>
      </c>
      <c r="B153" s="97" t="s">
        <v>409</v>
      </c>
      <c r="C153" s="97" t="s">
        <v>22</v>
      </c>
      <c r="D153" s="97" t="s">
        <v>22</v>
      </c>
      <c r="E153" s="98" t="s">
        <v>433</v>
      </c>
      <c r="F153" s="98" t="s">
        <v>32</v>
      </c>
      <c r="G153" s="35">
        <f t="shared" si="15"/>
        <v>100</v>
      </c>
      <c r="H153" s="35">
        <f t="shared" si="15"/>
        <v>100</v>
      </c>
    </row>
    <row r="154" spans="1:8" s="33" customFormat="1" ht="15">
      <c r="A154" s="96" t="s">
        <v>370</v>
      </c>
      <c r="B154" s="97" t="s">
        <v>409</v>
      </c>
      <c r="C154" s="97" t="s">
        <v>22</v>
      </c>
      <c r="D154" s="97" t="s">
        <v>22</v>
      </c>
      <c r="E154" s="98" t="s">
        <v>433</v>
      </c>
      <c r="F154" s="98" t="s">
        <v>27</v>
      </c>
      <c r="G154" s="35">
        <f>100000/1000</f>
        <v>100</v>
      </c>
      <c r="H154" s="35">
        <f>100000/1000</f>
        <v>100</v>
      </c>
    </row>
    <row r="155" spans="1:8" s="33" customFormat="1" ht="15">
      <c r="A155" s="122" t="s">
        <v>275</v>
      </c>
      <c r="B155" s="123" t="s">
        <v>409</v>
      </c>
      <c r="C155" s="123" t="s">
        <v>9</v>
      </c>
      <c r="D155" s="123" t="s">
        <v>3</v>
      </c>
      <c r="E155" s="124" t="s">
        <v>410</v>
      </c>
      <c r="F155" s="124" t="s">
        <v>16</v>
      </c>
      <c r="G155" s="82">
        <f>G156+G160</f>
        <v>19497.18</v>
      </c>
      <c r="H155" s="82">
        <f>H156+H160</f>
        <v>19497.18</v>
      </c>
    </row>
    <row r="156" spans="1:8" s="33" customFormat="1" ht="28.5">
      <c r="A156" s="93" t="s">
        <v>400</v>
      </c>
      <c r="B156" s="94" t="s">
        <v>409</v>
      </c>
      <c r="C156" s="94" t="s">
        <v>9</v>
      </c>
      <c r="D156" s="94" t="s">
        <v>6</v>
      </c>
      <c r="E156" s="95" t="s">
        <v>434</v>
      </c>
      <c r="F156" s="95" t="s">
        <v>16</v>
      </c>
      <c r="G156" s="61">
        <f aca="true" t="shared" si="16" ref="G156:H158">G157</f>
        <v>200</v>
      </c>
      <c r="H156" s="61">
        <f t="shared" si="16"/>
        <v>200</v>
      </c>
    </row>
    <row r="157" spans="1:8" s="34" customFormat="1" ht="39" customHeight="1">
      <c r="A157" s="96" t="s">
        <v>368</v>
      </c>
      <c r="B157" s="97" t="s">
        <v>409</v>
      </c>
      <c r="C157" s="97" t="s">
        <v>9</v>
      </c>
      <c r="D157" s="97" t="s">
        <v>6</v>
      </c>
      <c r="E157" s="98" t="s">
        <v>434</v>
      </c>
      <c r="F157" s="98" t="s">
        <v>83</v>
      </c>
      <c r="G157" s="35">
        <f t="shared" si="16"/>
        <v>200</v>
      </c>
      <c r="H157" s="35">
        <f t="shared" si="16"/>
        <v>200</v>
      </c>
    </row>
    <row r="158" spans="1:8" s="33" customFormat="1" ht="45">
      <c r="A158" s="96" t="s">
        <v>369</v>
      </c>
      <c r="B158" s="97" t="s">
        <v>409</v>
      </c>
      <c r="C158" s="97" t="s">
        <v>9</v>
      </c>
      <c r="D158" s="97" t="s">
        <v>6</v>
      </c>
      <c r="E158" s="98" t="s">
        <v>434</v>
      </c>
      <c r="F158" s="98" t="s">
        <v>32</v>
      </c>
      <c r="G158" s="35">
        <f t="shared" si="16"/>
        <v>200</v>
      </c>
      <c r="H158" s="35">
        <f t="shared" si="16"/>
        <v>200</v>
      </c>
    </row>
    <row r="159" spans="1:8" s="33" customFormat="1" ht="15">
      <c r="A159" s="96" t="s">
        <v>370</v>
      </c>
      <c r="B159" s="97" t="s">
        <v>409</v>
      </c>
      <c r="C159" s="97" t="s">
        <v>9</v>
      </c>
      <c r="D159" s="97" t="s">
        <v>6</v>
      </c>
      <c r="E159" s="98" t="s">
        <v>434</v>
      </c>
      <c r="F159" s="98" t="s">
        <v>27</v>
      </c>
      <c r="G159" s="35">
        <f>200000/1000</f>
        <v>200</v>
      </c>
      <c r="H159" s="35">
        <f>200000/1000</f>
        <v>200</v>
      </c>
    </row>
    <row r="160" spans="1:8" s="33" customFormat="1" ht="19.5" customHeight="1">
      <c r="A160" s="93" t="s">
        <v>398</v>
      </c>
      <c r="B160" s="94" t="s">
        <v>409</v>
      </c>
      <c r="C160" s="94" t="s">
        <v>9</v>
      </c>
      <c r="D160" s="94" t="s">
        <v>6</v>
      </c>
      <c r="E160" s="95" t="s">
        <v>432</v>
      </c>
      <c r="F160" s="95" t="s">
        <v>16</v>
      </c>
      <c r="G160" s="61">
        <f>G161+G165+G169</f>
        <v>19297.18</v>
      </c>
      <c r="H160" s="61">
        <f>H161+H165+H169</f>
        <v>19297.18</v>
      </c>
    </row>
    <row r="161" spans="1:8" s="33" customFormat="1" ht="90">
      <c r="A161" s="96" t="s">
        <v>364</v>
      </c>
      <c r="B161" s="97" t="s">
        <v>409</v>
      </c>
      <c r="C161" s="97" t="s">
        <v>9</v>
      </c>
      <c r="D161" s="97" t="s">
        <v>6</v>
      </c>
      <c r="E161" s="98" t="s">
        <v>432</v>
      </c>
      <c r="F161" s="98" t="s">
        <v>411</v>
      </c>
      <c r="G161" s="35">
        <f>G162</f>
        <v>16877.18</v>
      </c>
      <c r="H161" s="35">
        <f>H162</f>
        <v>16877.18</v>
      </c>
    </row>
    <row r="162" spans="1:8" s="33" customFormat="1" ht="30">
      <c r="A162" s="96" t="s">
        <v>395</v>
      </c>
      <c r="B162" s="97" t="s">
        <v>409</v>
      </c>
      <c r="C162" s="97" t="s">
        <v>9</v>
      </c>
      <c r="D162" s="97" t="s">
        <v>6</v>
      </c>
      <c r="E162" s="98" t="s">
        <v>432</v>
      </c>
      <c r="F162" s="98" t="s">
        <v>54</v>
      </c>
      <c r="G162" s="35">
        <f>SUM(G163:G164)</f>
        <v>16877.18</v>
      </c>
      <c r="H162" s="35">
        <f>SUM(H163:H164)</f>
        <v>16877.18</v>
      </c>
    </row>
    <row r="163" spans="1:8" s="33" customFormat="1" ht="39.75" customHeight="1">
      <c r="A163" s="96" t="s">
        <v>396</v>
      </c>
      <c r="B163" s="97" t="s">
        <v>409</v>
      </c>
      <c r="C163" s="97" t="s">
        <v>9</v>
      </c>
      <c r="D163" s="97" t="s">
        <v>6</v>
      </c>
      <c r="E163" s="98" t="s">
        <v>432</v>
      </c>
      <c r="F163" s="98" t="s">
        <v>31</v>
      </c>
      <c r="G163" s="35">
        <f>12962500/1000</f>
        <v>12962.5</v>
      </c>
      <c r="H163" s="35">
        <f>12962500/1000</f>
        <v>12962.5</v>
      </c>
    </row>
    <row r="164" spans="1:8" s="33" customFormat="1" ht="38.25" customHeight="1">
      <c r="A164" s="96" t="s">
        <v>397</v>
      </c>
      <c r="B164" s="97" t="s">
        <v>409</v>
      </c>
      <c r="C164" s="97" t="s">
        <v>9</v>
      </c>
      <c r="D164" s="97" t="s">
        <v>6</v>
      </c>
      <c r="E164" s="98" t="s">
        <v>432</v>
      </c>
      <c r="F164" s="98" t="s">
        <v>53</v>
      </c>
      <c r="G164" s="35">
        <f>3914680/1000</f>
        <v>3914.68</v>
      </c>
      <c r="H164" s="35">
        <f>3914680/1000</f>
        <v>3914.68</v>
      </c>
    </row>
    <row r="165" spans="1:8" s="33" customFormat="1" ht="39.75" customHeight="1">
      <c r="A165" s="96" t="s">
        <v>368</v>
      </c>
      <c r="B165" s="97" t="s">
        <v>409</v>
      </c>
      <c r="C165" s="97" t="s">
        <v>9</v>
      </c>
      <c r="D165" s="97" t="s">
        <v>6</v>
      </c>
      <c r="E165" s="98" t="s">
        <v>432</v>
      </c>
      <c r="F165" s="98" t="s">
        <v>83</v>
      </c>
      <c r="G165" s="35">
        <f>G166</f>
        <v>2300</v>
      </c>
      <c r="H165" s="35">
        <f>H166</f>
        <v>2300</v>
      </c>
    </row>
    <row r="166" spans="1:8" s="33" customFormat="1" ht="39" customHeight="1">
      <c r="A166" s="96" t="s">
        <v>369</v>
      </c>
      <c r="B166" s="97" t="s">
        <v>409</v>
      </c>
      <c r="C166" s="97" t="s">
        <v>9</v>
      </c>
      <c r="D166" s="97" t="s">
        <v>6</v>
      </c>
      <c r="E166" s="98" t="s">
        <v>432</v>
      </c>
      <c r="F166" s="98" t="s">
        <v>32</v>
      </c>
      <c r="G166" s="35">
        <f>SUM(G167:G168)</f>
        <v>2300</v>
      </c>
      <c r="H166" s="35">
        <f>SUM(H167:H168)</f>
        <v>2300</v>
      </c>
    </row>
    <row r="167" spans="1:8" s="33" customFormat="1" ht="18" customHeight="1">
      <c r="A167" s="96" t="s">
        <v>370</v>
      </c>
      <c r="B167" s="97" t="s">
        <v>409</v>
      </c>
      <c r="C167" s="97" t="s">
        <v>9</v>
      </c>
      <c r="D167" s="97" t="s">
        <v>6</v>
      </c>
      <c r="E167" s="98" t="s">
        <v>432</v>
      </c>
      <c r="F167" s="98" t="s">
        <v>27</v>
      </c>
      <c r="G167" s="35">
        <f>1700000/1000</f>
        <v>1700</v>
      </c>
      <c r="H167" s="35">
        <f>1700000/1000</f>
        <v>1700</v>
      </c>
    </row>
    <row r="168" spans="1:8" s="33" customFormat="1" ht="26.25" customHeight="1">
      <c r="A168" s="96" t="s">
        <v>371</v>
      </c>
      <c r="B168" s="97" t="s">
        <v>409</v>
      </c>
      <c r="C168" s="97" t="s">
        <v>9</v>
      </c>
      <c r="D168" s="97" t="s">
        <v>6</v>
      </c>
      <c r="E168" s="98" t="s">
        <v>432</v>
      </c>
      <c r="F168" s="98" t="s">
        <v>87</v>
      </c>
      <c r="G168" s="35">
        <f>600000/1000</f>
        <v>600</v>
      </c>
      <c r="H168" s="35">
        <f>600000/1000</f>
        <v>600</v>
      </c>
    </row>
    <row r="169" spans="1:8" s="33" customFormat="1" ht="15.75" customHeight="1">
      <c r="A169" s="96" t="s">
        <v>372</v>
      </c>
      <c r="B169" s="97" t="s">
        <v>409</v>
      </c>
      <c r="C169" s="97" t="s">
        <v>9</v>
      </c>
      <c r="D169" s="97" t="s">
        <v>6</v>
      </c>
      <c r="E169" s="98" t="s">
        <v>432</v>
      </c>
      <c r="F169" s="98" t="s">
        <v>51</v>
      </c>
      <c r="G169" s="35">
        <f>G170</f>
        <v>120</v>
      </c>
      <c r="H169" s="35">
        <f>H170</f>
        <v>120</v>
      </c>
    </row>
    <row r="170" spans="1:8" s="33" customFormat="1" ht="15">
      <c r="A170" s="96" t="s">
        <v>373</v>
      </c>
      <c r="B170" s="97" t="s">
        <v>409</v>
      </c>
      <c r="C170" s="97" t="s">
        <v>9</v>
      </c>
      <c r="D170" s="97" t="s">
        <v>6</v>
      </c>
      <c r="E170" s="98" t="s">
        <v>432</v>
      </c>
      <c r="F170" s="98" t="s">
        <v>55</v>
      </c>
      <c r="G170" s="35">
        <f>SUM(G171:G172)</f>
        <v>120</v>
      </c>
      <c r="H170" s="35">
        <f>SUM(H171:H172)</f>
        <v>120</v>
      </c>
    </row>
    <row r="171" spans="1:8" s="33" customFormat="1" ht="51.75" customHeight="1">
      <c r="A171" s="96" t="s">
        <v>374</v>
      </c>
      <c r="B171" s="97" t="s">
        <v>409</v>
      </c>
      <c r="C171" s="97" t="s">
        <v>9</v>
      </c>
      <c r="D171" s="97" t="s">
        <v>6</v>
      </c>
      <c r="E171" s="98" t="s">
        <v>432</v>
      </c>
      <c r="F171" s="98" t="s">
        <v>49</v>
      </c>
      <c r="G171" s="35">
        <f>20000/1000</f>
        <v>20</v>
      </c>
      <c r="H171" s="35">
        <f>20000/1000</f>
        <v>20</v>
      </c>
    </row>
    <row r="172" spans="1:8" s="33" customFormat="1" ht="15">
      <c r="A172" s="96" t="s">
        <v>375</v>
      </c>
      <c r="B172" s="97" t="s">
        <v>409</v>
      </c>
      <c r="C172" s="97" t="s">
        <v>9</v>
      </c>
      <c r="D172" s="97" t="s">
        <v>6</v>
      </c>
      <c r="E172" s="98" t="s">
        <v>432</v>
      </c>
      <c r="F172" s="98" t="s">
        <v>52</v>
      </c>
      <c r="G172" s="35">
        <f>100000/1000</f>
        <v>100</v>
      </c>
      <c r="H172" s="35">
        <f>100000/1000</f>
        <v>100</v>
      </c>
    </row>
    <row r="173" spans="1:8" s="33" customFormat="1" ht="15">
      <c r="A173" s="122" t="s">
        <v>76</v>
      </c>
      <c r="B173" s="123" t="s">
        <v>409</v>
      </c>
      <c r="C173" s="123" t="s">
        <v>30</v>
      </c>
      <c r="D173" s="123" t="s">
        <v>3</v>
      </c>
      <c r="E173" s="124" t="s">
        <v>410</v>
      </c>
      <c r="F173" s="124" t="s">
        <v>16</v>
      </c>
      <c r="G173" s="82">
        <f>G174+G178</f>
        <v>831.424</v>
      </c>
      <c r="H173" s="82">
        <f>H174+H178</f>
        <v>731.424</v>
      </c>
    </row>
    <row r="174" spans="1:8" s="33" customFormat="1" ht="39" customHeight="1">
      <c r="A174" s="93" t="s">
        <v>401</v>
      </c>
      <c r="B174" s="94" t="s">
        <v>409</v>
      </c>
      <c r="C174" s="94" t="s">
        <v>30</v>
      </c>
      <c r="D174" s="94" t="s">
        <v>6</v>
      </c>
      <c r="E174" s="95" t="s">
        <v>435</v>
      </c>
      <c r="F174" s="95" t="s">
        <v>16</v>
      </c>
      <c r="G174" s="61">
        <f aca="true" t="shared" si="17" ref="G174:H176">G175</f>
        <v>731.424</v>
      </c>
      <c r="H174" s="61">
        <f t="shared" si="17"/>
        <v>731.424</v>
      </c>
    </row>
    <row r="175" spans="1:8" s="33" customFormat="1" ht="65.25" customHeight="1">
      <c r="A175" s="96" t="s">
        <v>382</v>
      </c>
      <c r="B175" s="97" t="s">
        <v>409</v>
      </c>
      <c r="C175" s="97" t="s">
        <v>30</v>
      </c>
      <c r="D175" s="97" t="s">
        <v>6</v>
      </c>
      <c r="E175" s="98" t="s">
        <v>435</v>
      </c>
      <c r="F175" s="98" t="s">
        <v>65</v>
      </c>
      <c r="G175" s="35">
        <f t="shared" si="17"/>
        <v>731.424</v>
      </c>
      <c r="H175" s="35">
        <f t="shared" si="17"/>
        <v>731.424</v>
      </c>
    </row>
    <row r="176" spans="1:8" s="33" customFormat="1" ht="26.25" customHeight="1">
      <c r="A176" s="96" t="s">
        <v>402</v>
      </c>
      <c r="B176" s="97" t="s">
        <v>409</v>
      </c>
      <c r="C176" s="97" t="s">
        <v>30</v>
      </c>
      <c r="D176" s="97" t="s">
        <v>6</v>
      </c>
      <c r="E176" s="98" t="s">
        <v>435</v>
      </c>
      <c r="F176" s="98" t="s">
        <v>93</v>
      </c>
      <c r="G176" s="35">
        <f t="shared" si="17"/>
        <v>731.424</v>
      </c>
      <c r="H176" s="35">
        <f t="shared" si="17"/>
        <v>731.424</v>
      </c>
    </row>
    <row r="177" spans="1:8" s="34" customFormat="1" ht="53.25" customHeight="1">
      <c r="A177" s="96" t="s">
        <v>403</v>
      </c>
      <c r="B177" s="97" t="s">
        <v>409</v>
      </c>
      <c r="C177" s="97" t="s">
        <v>30</v>
      </c>
      <c r="D177" s="97" t="s">
        <v>6</v>
      </c>
      <c r="E177" s="98" t="s">
        <v>435</v>
      </c>
      <c r="F177" s="98" t="s">
        <v>64</v>
      </c>
      <c r="G177" s="35">
        <f>731424/1000</f>
        <v>731.424</v>
      </c>
      <c r="H177" s="35">
        <f>731424/1000</f>
        <v>731.424</v>
      </c>
    </row>
    <row r="178" spans="1:8" s="33" customFormat="1" ht="15">
      <c r="A178" s="93" t="s">
        <v>404</v>
      </c>
      <c r="B178" s="94" t="s">
        <v>409</v>
      </c>
      <c r="C178" s="94" t="s">
        <v>30</v>
      </c>
      <c r="D178" s="94" t="s">
        <v>74</v>
      </c>
      <c r="E178" s="95" t="s">
        <v>436</v>
      </c>
      <c r="F178" s="95" t="s">
        <v>16</v>
      </c>
      <c r="G178" s="61">
        <f aca="true" t="shared" si="18" ref="G178:H180">G179</f>
        <v>100</v>
      </c>
      <c r="H178" s="61">
        <f t="shared" si="18"/>
        <v>0</v>
      </c>
    </row>
    <row r="179" spans="1:8" s="33" customFormat="1" ht="45">
      <c r="A179" s="96" t="s">
        <v>368</v>
      </c>
      <c r="B179" s="97" t="s">
        <v>409</v>
      </c>
      <c r="C179" s="97" t="s">
        <v>30</v>
      </c>
      <c r="D179" s="97" t="s">
        <v>74</v>
      </c>
      <c r="E179" s="98" t="s">
        <v>436</v>
      </c>
      <c r="F179" s="98" t="s">
        <v>83</v>
      </c>
      <c r="G179" s="35">
        <f t="shared" si="18"/>
        <v>100</v>
      </c>
      <c r="H179" s="35">
        <f t="shared" si="18"/>
        <v>0</v>
      </c>
    </row>
    <row r="180" spans="1:8" s="33" customFormat="1" ht="45">
      <c r="A180" s="96" t="s">
        <v>369</v>
      </c>
      <c r="B180" s="97" t="s">
        <v>409</v>
      </c>
      <c r="C180" s="97" t="s">
        <v>30</v>
      </c>
      <c r="D180" s="97" t="s">
        <v>74</v>
      </c>
      <c r="E180" s="98" t="s">
        <v>436</v>
      </c>
      <c r="F180" s="98" t="s">
        <v>32</v>
      </c>
      <c r="G180" s="35">
        <f t="shared" si="18"/>
        <v>100</v>
      </c>
      <c r="H180" s="35">
        <f t="shared" si="18"/>
        <v>0</v>
      </c>
    </row>
    <row r="181" spans="1:8" s="33" customFormat="1" ht="40.5" customHeight="1">
      <c r="A181" s="96" t="s">
        <v>370</v>
      </c>
      <c r="B181" s="97" t="s">
        <v>409</v>
      </c>
      <c r="C181" s="97" t="s">
        <v>30</v>
      </c>
      <c r="D181" s="97" t="s">
        <v>74</v>
      </c>
      <c r="E181" s="98" t="s">
        <v>436</v>
      </c>
      <c r="F181" s="98" t="s">
        <v>27</v>
      </c>
      <c r="G181" s="35">
        <f>100000/1000</f>
        <v>100</v>
      </c>
      <c r="H181" s="35">
        <v>0</v>
      </c>
    </row>
    <row r="182" spans="1:8" s="33" customFormat="1" ht="39.75" customHeight="1">
      <c r="A182" s="122" t="s">
        <v>285</v>
      </c>
      <c r="B182" s="123" t="s">
        <v>409</v>
      </c>
      <c r="C182" s="123" t="s">
        <v>17</v>
      </c>
      <c r="D182" s="123" t="s">
        <v>3</v>
      </c>
      <c r="E182" s="124" t="s">
        <v>410</v>
      </c>
      <c r="F182" s="124" t="s">
        <v>16</v>
      </c>
      <c r="G182" s="82">
        <f aca="true" t="shared" si="19" ref="G182:H185">G183</f>
        <v>1261.02</v>
      </c>
      <c r="H182" s="82">
        <f t="shared" si="19"/>
        <v>0</v>
      </c>
    </row>
    <row r="183" spans="1:8" s="33" customFormat="1" ht="42.75">
      <c r="A183" s="93" t="s">
        <v>287</v>
      </c>
      <c r="B183" s="94" t="s">
        <v>409</v>
      </c>
      <c r="C183" s="94" t="s">
        <v>17</v>
      </c>
      <c r="D183" s="94" t="s">
        <v>6</v>
      </c>
      <c r="E183" s="95" t="s">
        <v>437</v>
      </c>
      <c r="F183" s="95" t="s">
        <v>16</v>
      </c>
      <c r="G183" s="61">
        <f t="shared" si="19"/>
        <v>1261.02</v>
      </c>
      <c r="H183" s="61">
        <f t="shared" si="19"/>
        <v>0</v>
      </c>
    </row>
    <row r="184" spans="1:8" s="33" customFormat="1" ht="26.25" customHeight="1">
      <c r="A184" s="96" t="s">
        <v>294</v>
      </c>
      <c r="B184" s="97" t="s">
        <v>409</v>
      </c>
      <c r="C184" s="97" t="s">
        <v>17</v>
      </c>
      <c r="D184" s="97" t="s">
        <v>6</v>
      </c>
      <c r="E184" s="98" t="s">
        <v>437</v>
      </c>
      <c r="F184" s="98" t="s">
        <v>83</v>
      </c>
      <c r="G184" s="35">
        <f t="shared" si="19"/>
        <v>1261.02</v>
      </c>
      <c r="H184" s="35">
        <f t="shared" si="19"/>
        <v>0</v>
      </c>
    </row>
    <row r="185" spans="1:8" s="33" customFormat="1" ht="45">
      <c r="A185" s="96" t="s">
        <v>295</v>
      </c>
      <c r="B185" s="97" t="s">
        <v>409</v>
      </c>
      <c r="C185" s="97" t="s">
        <v>17</v>
      </c>
      <c r="D185" s="97" t="s">
        <v>6</v>
      </c>
      <c r="E185" s="98" t="s">
        <v>437</v>
      </c>
      <c r="F185" s="98" t="s">
        <v>32</v>
      </c>
      <c r="G185" s="35">
        <f t="shared" si="19"/>
        <v>1261.02</v>
      </c>
      <c r="H185" s="35">
        <f t="shared" si="19"/>
        <v>0</v>
      </c>
    </row>
    <row r="186" spans="1:8" s="33" customFormat="1" ht="15">
      <c r="A186" s="96" t="s">
        <v>463</v>
      </c>
      <c r="B186" s="97" t="s">
        <v>409</v>
      </c>
      <c r="C186" s="97" t="s">
        <v>17</v>
      </c>
      <c r="D186" s="97" t="s">
        <v>6</v>
      </c>
      <c r="E186" s="98" t="s">
        <v>437</v>
      </c>
      <c r="F186" s="98" t="s">
        <v>27</v>
      </c>
      <c r="G186" s="35">
        <f>SUM(G187:G188)</f>
        <v>1261.02</v>
      </c>
      <c r="H186" s="35">
        <f>SUM(H187:H188)</f>
        <v>0</v>
      </c>
    </row>
    <row r="187" spans="1:8" s="33" customFormat="1" ht="78" customHeight="1">
      <c r="A187" s="86" t="s">
        <v>103</v>
      </c>
      <c r="B187" s="87">
        <v>717</v>
      </c>
      <c r="C187" s="79" t="s">
        <v>17</v>
      </c>
      <c r="D187" s="79" t="s">
        <v>6</v>
      </c>
      <c r="E187" s="79" t="s">
        <v>107</v>
      </c>
      <c r="F187" s="79" t="s">
        <v>27</v>
      </c>
      <c r="G187" s="88">
        <v>0</v>
      </c>
      <c r="H187" s="88">
        <v>0</v>
      </c>
    </row>
    <row r="188" spans="1:8" s="33" customFormat="1" ht="141" customHeight="1">
      <c r="A188" s="86" t="s">
        <v>345</v>
      </c>
      <c r="B188" s="87">
        <v>717</v>
      </c>
      <c r="C188" s="79" t="s">
        <v>17</v>
      </c>
      <c r="D188" s="79" t="s">
        <v>6</v>
      </c>
      <c r="E188" s="79" t="s">
        <v>107</v>
      </c>
      <c r="F188" s="79" t="s">
        <v>27</v>
      </c>
      <c r="G188" s="88">
        <f>1261020/1000</f>
        <v>1261.02</v>
      </c>
      <c r="H188" s="88">
        <v>0</v>
      </c>
    </row>
    <row r="189" spans="1:8" s="33" customFormat="1" ht="42.75" customHeight="1">
      <c r="A189" s="122" t="s">
        <v>278</v>
      </c>
      <c r="B189" s="123" t="s">
        <v>409</v>
      </c>
      <c r="C189" s="123" t="s">
        <v>59</v>
      </c>
      <c r="D189" s="123" t="s">
        <v>3</v>
      </c>
      <c r="E189" s="124" t="s">
        <v>410</v>
      </c>
      <c r="F189" s="124" t="s">
        <v>16</v>
      </c>
      <c r="G189" s="82">
        <f>G190+G193</f>
        <v>625.72757</v>
      </c>
      <c r="H189" s="82">
        <f>H190+H193</f>
        <v>623.8011700000001</v>
      </c>
    </row>
    <row r="190" spans="1:8" s="33" customFormat="1" ht="15" customHeight="1">
      <c r="A190" s="93" t="s">
        <v>405</v>
      </c>
      <c r="B190" s="94" t="s">
        <v>409</v>
      </c>
      <c r="C190" s="94" t="s">
        <v>59</v>
      </c>
      <c r="D190" s="94" t="s">
        <v>6</v>
      </c>
      <c r="E190" s="95" t="s">
        <v>438</v>
      </c>
      <c r="F190" s="95" t="s">
        <v>16</v>
      </c>
      <c r="G190" s="61">
        <f>G191</f>
        <v>1.9264000000000001</v>
      </c>
      <c r="H190" s="61">
        <f>H191</f>
        <v>0</v>
      </c>
    </row>
    <row r="191" spans="1:8" s="33" customFormat="1" ht="30">
      <c r="A191" s="96" t="s">
        <v>406</v>
      </c>
      <c r="B191" s="97" t="s">
        <v>409</v>
      </c>
      <c r="C191" s="97" t="s">
        <v>59</v>
      </c>
      <c r="D191" s="97" t="s">
        <v>6</v>
      </c>
      <c r="E191" s="98" t="s">
        <v>438</v>
      </c>
      <c r="F191" s="98" t="s">
        <v>96</v>
      </c>
      <c r="G191" s="35">
        <f>G192</f>
        <v>1.9264000000000001</v>
      </c>
      <c r="H191" s="35">
        <f>H192</f>
        <v>0</v>
      </c>
    </row>
    <row r="192" spans="1:8" s="33" customFormat="1" ht="13.5" customHeight="1">
      <c r="A192" s="96" t="s">
        <v>405</v>
      </c>
      <c r="B192" s="97" t="s">
        <v>409</v>
      </c>
      <c r="C192" s="97" t="s">
        <v>59</v>
      </c>
      <c r="D192" s="97" t="s">
        <v>6</v>
      </c>
      <c r="E192" s="98" t="s">
        <v>438</v>
      </c>
      <c r="F192" s="98" t="s">
        <v>60</v>
      </c>
      <c r="G192" s="35">
        <f>1926.4/1000</f>
        <v>1.9264000000000001</v>
      </c>
      <c r="H192" s="35">
        <v>0</v>
      </c>
    </row>
    <row r="193" spans="1:8" s="33" customFormat="1" ht="15">
      <c r="A193" s="93" t="s">
        <v>407</v>
      </c>
      <c r="B193" s="94" t="s">
        <v>409</v>
      </c>
      <c r="C193" s="94" t="s">
        <v>23</v>
      </c>
      <c r="D193" s="94" t="s">
        <v>11</v>
      </c>
      <c r="E193" s="95" t="s">
        <v>439</v>
      </c>
      <c r="F193" s="95" t="s">
        <v>16</v>
      </c>
      <c r="G193" s="61">
        <f>G194</f>
        <v>623.8011700000001</v>
      </c>
      <c r="H193" s="61">
        <f>H194</f>
        <v>623.8011700000001</v>
      </c>
    </row>
    <row r="194" spans="1:8" s="33" customFormat="1" ht="15">
      <c r="A194" s="96" t="s">
        <v>408</v>
      </c>
      <c r="B194" s="97" t="s">
        <v>409</v>
      </c>
      <c r="C194" s="97" t="s">
        <v>23</v>
      </c>
      <c r="D194" s="97" t="s">
        <v>11</v>
      </c>
      <c r="E194" s="98" t="s">
        <v>439</v>
      </c>
      <c r="F194" s="98" t="s">
        <v>412</v>
      </c>
      <c r="G194" s="35">
        <f>G195</f>
        <v>623.8011700000001</v>
      </c>
      <c r="H194" s="35">
        <f>H195</f>
        <v>623.8011700000001</v>
      </c>
    </row>
    <row r="195" spans="1:8" s="33" customFormat="1" ht="15">
      <c r="A195" s="96" t="s">
        <v>407</v>
      </c>
      <c r="B195" s="97" t="s">
        <v>409</v>
      </c>
      <c r="C195" s="97" t="s">
        <v>23</v>
      </c>
      <c r="D195" s="97" t="s">
        <v>11</v>
      </c>
      <c r="E195" s="98" t="s">
        <v>439</v>
      </c>
      <c r="F195" s="98" t="s">
        <v>29</v>
      </c>
      <c r="G195" s="35">
        <f>623801.17/1000</f>
        <v>623.8011700000001</v>
      </c>
      <c r="H195" s="35">
        <f>623801.17/1000</f>
        <v>623.8011700000001</v>
      </c>
    </row>
  </sheetData>
  <sheetProtection/>
  <mergeCells count="2">
    <mergeCell ref="A2:H2"/>
    <mergeCell ref="E1:H1"/>
  </mergeCells>
  <printOptions/>
  <pageMargins left="0" right="0" top="0" bottom="0" header="0.31496062992125984" footer="0.31496062992125984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="60" zoomScalePageLayoutView="0" workbookViewId="0" topLeftCell="A1">
      <selection activeCell="C23" sqref="C23"/>
    </sheetView>
  </sheetViews>
  <sheetFormatPr defaultColWidth="9.00390625" defaultRowHeight="12.75"/>
  <cols>
    <col min="1" max="1" width="48.125" style="56" customWidth="1"/>
    <col min="2" max="2" width="28.375" style="56" customWidth="1"/>
    <col min="3" max="3" width="16.375" style="56" bestFit="1" customWidth="1"/>
    <col min="4" max="7" width="9.125" style="47" customWidth="1"/>
    <col min="8" max="8" width="9.75390625" style="47" bestFit="1" customWidth="1"/>
    <col min="9" max="16384" width="9.125" style="47" customWidth="1"/>
  </cols>
  <sheetData>
    <row r="1" spans="1:3" s="11" customFormat="1" ht="120" customHeight="1">
      <c r="A1" s="12"/>
      <c r="B1" s="179" t="s">
        <v>499</v>
      </c>
      <c r="C1" s="179"/>
    </row>
    <row r="2" spans="1:2" ht="15">
      <c r="A2" s="63" t="s">
        <v>504</v>
      </c>
      <c r="B2" s="63"/>
    </row>
    <row r="5" spans="1:3" ht="30">
      <c r="A5" s="17" t="s">
        <v>283</v>
      </c>
      <c r="B5" s="17" t="s">
        <v>110</v>
      </c>
      <c r="C5" s="17" t="s">
        <v>500</v>
      </c>
    </row>
    <row r="6" spans="1:3" ht="30">
      <c r="A6" s="75" t="s">
        <v>111</v>
      </c>
      <c r="B6" s="75" t="s">
        <v>112</v>
      </c>
      <c r="C6" s="35">
        <v>9830.11</v>
      </c>
    </row>
    <row r="7" spans="1:3" ht="30">
      <c r="A7" s="75" t="s">
        <v>113</v>
      </c>
      <c r="B7" s="75" t="s">
        <v>114</v>
      </c>
      <c r="C7" s="35">
        <v>27322.7</v>
      </c>
    </row>
    <row r="8" spans="1:3" ht="30">
      <c r="A8" s="75" t="s">
        <v>115</v>
      </c>
      <c r="B8" s="75" t="s">
        <v>116</v>
      </c>
      <c r="C8" s="35">
        <v>27322.7</v>
      </c>
    </row>
    <row r="9" spans="1:3" ht="45">
      <c r="A9" s="75" t="s">
        <v>117</v>
      </c>
      <c r="B9" s="75" t="s">
        <v>118</v>
      </c>
      <c r="C9" s="35">
        <v>27322.7</v>
      </c>
    </row>
    <row r="10" spans="1:4" ht="45">
      <c r="A10" s="75" t="s">
        <v>119</v>
      </c>
      <c r="B10" s="75" t="s">
        <v>120</v>
      </c>
      <c r="C10" s="35">
        <v>0</v>
      </c>
      <c r="D10" s="46"/>
    </row>
    <row r="11" spans="1:8" ht="45">
      <c r="A11" s="75" t="s">
        <v>121</v>
      </c>
      <c r="B11" s="75" t="s">
        <v>122</v>
      </c>
      <c r="C11" s="35">
        <v>0</v>
      </c>
      <c r="D11" s="46"/>
      <c r="H11" s="46"/>
    </row>
    <row r="12" spans="1:3" ht="30">
      <c r="A12" s="75" t="s">
        <v>123</v>
      </c>
      <c r="B12" s="75" t="s">
        <v>124</v>
      </c>
      <c r="C12" s="35">
        <f>-17492591.45/1000</f>
        <v>-17492.59145</v>
      </c>
    </row>
    <row r="13" spans="1:3" ht="45">
      <c r="A13" s="75" t="s">
        <v>125</v>
      </c>
      <c r="B13" s="75" t="s">
        <v>126</v>
      </c>
      <c r="C13" s="35">
        <v>0</v>
      </c>
    </row>
    <row r="14" spans="1:3" ht="60">
      <c r="A14" s="75" t="s">
        <v>127</v>
      </c>
      <c r="B14" s="75" t="s">
        <v>128</v>
      </c>
      <c r="C14" s="35">
        <v>0</v>
      </c>
    </row>
    <row r="15" spans="1:3" ht="60">
      <c r="A15" s="75" t="s">
        <v>129</v>
      </c>
      <c r="B15" s="75" t="s">
        <v>130</v>
      </c>
      <c r="C15" s="35">
        <f>-17492591.45/1000</f>
        <v>-17492.59145</v>
      </c>
    </row>
    <row r="16" spans="1:3" ht="60">
      <c r="A16" s="75" t="s">
        <v>131</v>
      </c>
      <c r="B16" s="75" t="s">
        <v>132</v>
      </c>
      <c r="C16" s="35">
        <f>-17492591.45/1000</f>
        <v>-17492.59145</v>
      </c>
    </row>
    <row r="17" spans="1:3" ht="27.75" customHeight="1">
      <c r="A17" s="75" t="s">
        <v>133</v>
      </c>
      <c r="B17" s="75" t="s">
        <v>134</v>
      </c>
      <c r="C17" s="35">
        <f>C21+C18</f>
        <v>-0.0010499999625608325</v>
      </c>
    </row>
    <row r="18" spans="1:3" ht="27.75" customHeight="1">
      <c r="A18" s="75" t="s">
        <v>135</v>
      </c>
      <c r="B18" s="75" t="s">
        <v>136</v>
      </c>
      <c r="C18" s="35">
        <f>-606203-C7</f>
        <v>-633525.7</v>
      </c>
    </row>
    <row r="19" spans="1:3" ht="27.75" customHeight="1">
      <c r="A19" s="75" t="s">
        <v>137</v>
      </c>
      <c r="B19" s="75" t="s">
        <v>138</v>
      </c>
      <c r="C19" s="35">
        <f>-606203-C7</f>
        <v>-633525.7</v>
      </c>
    </row>
    <row r="20" spans="1:3" ht="27.75" customHeight="1">
      <c r="A20" s="75" t="s">
        <v>139</v>
      </c>
      <c r="B20" s="75" t="s">
        <v>140</v>
      </c>
      <c r="C20" s="35">
        <f>-606203-C7</f>
        <v>-633525.7</v>
      </c>
    </row>
    <row r="21" spans="1:3" ht="27.75" customHeight="1">
      <c r="A21" s="75" t="s">
        <v>141</v>
      </c>
      <c r="B21" s="75" t="s">
        <v>142</v>
      </c>
      <c r="C21" s="35">
        <f>616033.1075-C12</f>
        <v>633525.69895</v>
      </c>
    </row>
    <row r="22" spans="1:3" ht="27.75" customHeight="1">
      <c r="A22" s="75" t="s">
        <v>143</v>
      </c>
      <c r="B22" s="75" t="s">
        <v>144</v>
      </c>
      <c r="C22" s="35">
        <f>616033.1075-C12</f>
        <v>633525.69895</v>
      </c>
    </row>
    <row r="23" spans="1:3" ht="27.75" customHeight="1">
      <c r="A23" s="75" t="s">
        <v>145</v>
      </c>
      <c r="B23" s="75" t="s">
        <v>146</v>
      </c>
      <c r="C23" s="35">
        <f>616033.1075-C12</f>
        <v>633525.69895</v>
      </c>
    </row>
  </sheetData>
  <sheetProtection/>
  <mergeCells count="1">
    <mergeCell ref="B1:C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 Иркутского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2</dc:creator>
  <cp:keywords/>
  <dc:description/>
  <cp:lastModifiedBy>admin</cp:lastModifiedBy>
  <cp:lastPrinted>2023-12-12T06:08:01Z</cp:lastPrinted>
  <dcterms:created xsi:type="dcterms:W3CDTF">2003-08-08T08:02:54Z</dcterms:created>
  <dcterms:modified xsi:type="dcterms:W3CDTF">2023-12-13T01:37:04Z</dcterms:modified>
  <cp:category/>
  <cp:version/>
  <cp:contentType/>
  <cp:contentStatus/>
</cp:coreProperties>
</file>